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RB\Desktop\"/>
    </mc:Choice>
  </mc:AlternateContent>
  <bookViews>
    <workbookView xWindow="0" yWindow="0" windowWidth="23040" windowHeight="9144"/>
  </bookViews>
  <sheets>
    <sheet name="2020各部门目标值" sheetId="8" r:id="rId1"/>
  </sheets>
  <definedNames>
    <definedName name="_xlnm._FilterDatabase" localSheetId="0" hidden="1">'2020各部门目标值'!$A$1:$S$326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319" i="8" l="1"/>
  <c r="N270" i="8"/>
  <c r="N246" i="8" l="1"/>
  <c r="N145" i="8" l="1"/>
  <c r="M145" i="8"/>
  <c r="N291" i="8"/>
  <c r="N232" i="8"/>
  <c r="N225" i="8"/>
  <c r="N218" i="8"/>
  <c r="S305" i="8" l="1"/>
  <c r="I305" i="8"/>
  <c r="J305" i="8"/>
  <c r="K305" i="8"/>
  <c r="L305" i="8"/>
  <c r="M305" i="8"/>
  <c r="N305" i="8"/>
  <c r="O305" i="8"/>
  <c r="P305" i="8"/>
  <c r="Q305" i="8"/>
  <c r="R305" i="8"/>
  <c r="H305" i="8"/>
  <c r="I298" i="8"/>
  <c r="J298" i="8"/>
  <c r="K298" i="8"/>
  <c r="L298" i="8"/>
  <c r="M298" i="8"/>
  <c r="N298" i="8"/>
  <c r="O298" i="8"/>
  <c r="P298" i="8"/>
  <c r="Q298" i="8"/>
  <c r="R298" i="8"/>
  <c r="S298" i="8"/>
  <c r="H298" i="8"/>
  <c r="I289" i="8"/>
  <c r="J289" i="8"/>
  <c r="K289" i="8"/>
  <c r="L289" i="8"/>
  <c r="M289" i="8"/>
  <c r="N289" i="8"/>
  <c r="O289" i="8"/>
  <c r="P289" i="8"/>
  <c r="Q289" i="8"/>
  <c r="R289" i="8"/>
  <c r="S289" i="8"/>
  <c r="H289" i="8"/>
  <c r="I282" i="8"/>
  <c r="J282" i="8"/>
  <c r="K282" i="8"/>
  <c r="L282" i="8"/>
  <c r="M282" i="8"/>
  <c r="N282" i="8"/>
  <c r="O282" i="8"/>
  <c r="P282" i="8"/>
  <c r="Q282" i="8"/>
  <c r="R282" i="8"/>
  <c r="S282" i="8"/>
  <c r="H282" i="8"/>
  <c r="I275" i="8"/>
  <c r="J275" i="8"/>
  <c r="K275" i="8"/>
  <c r="L275" i="8"/>
  <c r="M275" i="8"/>
  <c r="N275" i="8"/>
  <c r="O275" i="8"/>
  <c r="P275" i="8"/>
  <c r="Q275" i="8"/>
  <c r="R275" i="8"/>
  <c r="S275" i="8"/>
  <c r="H275" i="8"/>
  <c r="M268" i="8"/>
  <c r="L268" i="8"/>
  <c r="K268" i="8"/>
  <c r="N268" i="8"/>
  <c r="O268" i="8"/>
  <c r="P268" i="8"/>
  <c r="Q268" i="8"/>
  <c r="R268" i="8"/>
  <c r="S268" i="8"/>
  <c r="S261" i="8"/>
  <c r="I261" i="8"/>
  <c r="J261" i="8"/>
  <c r="K261" i="8"/>
  <c r="L261" i="8"/>
  <c r="M261" i="8"/>
  <c r="N261" i="8"/>
  <c r="O261" i="8"/>
  <c r="P261" i="8"/>
  <c r="Q261" i="8"/>
  <c r="R261" i="8"/>
  <c r="H261" i="8"/>
  <c r="I251" i="8"/>
  <c r="J251" i="8"/>
  <c r="K251" i="8"/>
  <c r="L251" i="8"/>
  <c r="M251" i="8"/>
  <c r="N251" i="8"/>
  <c r="O251" i="8"/>
  <c r="P251" i="8"/>
  <c r="Q251" i="8"/>
  <c r="R251" i="8"/>
  <c r="S251" i="8"/>
  <c r="H251" i="8"/>
  <c r="I237" i="8"/>
  <c r="J237" i="8"/>
  <c r="K237" i="8"/>
  <c r="L237" i="8"/>
  <c r="M237" i="8"/>
  <c r="N237" i="8"/>
  <c r="O237" i="8"/>
  <c r="P237" i="8"/>
  <c r="Q237" i="8"/>
  <c r="R237" i="8"/>
  <c r="S237" i="8"/>
  <c r="H237" i="8"/>
  <c r="L230" i="8"/>
  <c r="M230" i="8"/>
  <c r="N230" i="8"/>
  <c r="O230" i="8"/>
  <c r="P230" i="8"/>
  <c r="Q230" i="8"/>
  <c r="R230" i="8"/>
  <c r="S230" i="8"/>
  <c r="K230" i="8"/>
  <c r="J230" i="8"/>
  <c r="K223" i="8"/>
  <c r="L223" i="8"/>
  <c r="M223" i="8"/>
  <c r="N223" i="8"/>
  <c r="O223" i="8"/>
  <c r="P223" i="8"/>
  <c r="Q223" i="8"/>
  <c r="R223" i="8"/>
  <c r="S223" i="8"/>
  <c r="J223" i="8"/>
  <c r="K216" i="8"/>
  <c r="L216" i="8"/>
  <c r="M216" i="8"/>
  <c r="N216" i="8"/>
  <c r="O216" i="8"/>
  <c r="P216" i="8"/>
  <c r="Q216" i="8"/>
  <c r="R216" i="8"/>
  <c r="S216" i="8"/>
  <c r="J216" i="8"/>
  <c r="I209" i="8"/>
  <c r="J209" i="8"/>
  <c r="K209" i="8"/>
  <c r="L209" i="8"/>
  <c r="M209" i="8"/>
  <c r="N209" i="8"/>
  <c r="O209" i="8"/>
  <c r="P209" i="8"/>
  <c r="Q209" i="8"/>
  <c r="R209" i="8"/>
  <c r="S209" i="8"/>
  <c r="H209" i="8"/>
  <c r="I185" i="8"/>
  <c r="J185" i="8"/>
  <c r="K185" i="8"/>
  <c r="L185" i="8"/>
  <c r="M185" i="8"/>
  <c r="N185" i="8"/>
  <c r="O185" i="8"/>
  <c r="P185" i="8"/>
  <c r="Q185" i="8"/>
  <c r="R185" i="8"/>
  <c r="S185" i="8"/>
  <c r="H185" i="8"/>
  <c r="S178" i="8"/>
  <c r="I178" i="8"/>
  <c r="J178" i="8"/>
  <c r="K178" i="8"/>
  <c r="L178" i="8"/>
  <c r="M178" i="8"/>
  <c r="N178" i="8"/>
  <c r="O178" i="8"/>
  <c r="P178" i="8"/>
  <c r="Q178" i="8"/>
  <c r="R178" i="8"/>
  <c r="H178" i="8"/>
  <c r="I171" i="8"/>
  <c r="J171" i="8"/>
  <c r="K171" i="8"/>
  <c r="L171" i="8"/>
  <c r="M171" i="8"/>
  <c r="N171" i="8"/>
  <c r="O171" i="8"/>
  <c r="P171" i="8"/>
  <c r="Q171" i="8"/>
  <c r="R171" i="8"/>
  <c r="S171" i="8"/>
  <c r="H171" i="8"/>
  <c r="S164" i="8"/>
  <c r="I164" i="8"/>
  <c r="J164" i="8"/>
  <c r="K164" i="8"/>
  <c r="L164" i="8"/>
  <c r="M164" i="8"/>
  <c r="N164" i="8"/>
  <c r="O164" i="8"/>
  <c r="P164" i="8"/>
  <c r="Q164" i="8"/>
  <c r="R164" i="8"/>
  <c r="H164" i="8"/>
  <c r="I143" i="8"/>
  <c r="J143" i="8"/>
  <c r="K143" i="8"/>
  <c r="L143" i="8"/>
  <c r="M143" i="8"/>
  <c r="N143" i="8"/>
  <c r="O143" i="8"/>
  <c r="P143" i="8"/>
  <c r="Q143" i="8"/>
  <c r="R143" i="8"/>
  <c r="S143" i="8"/>
  <c r="H143" i="8"/>
  <c r="S136" i="8"/>
  <c r="I136" i="8"/>
  <c r="J136" i="8"/>
  <c r="K136" i="8"/>
  <c r="L136" i="8"/>
  <c r="M136" i="8"/>
  <c r="N136" i="8"/>
  <c r="O136" i="8"/>
  <c r="P136" i="8"/>
  <c r="Q136" i="8"/>
  <c r="R136" i="8"/>
  <c r="H136" i="8"/>
  <c r="S129" i="8"/>
  <c r="I129" i="8"/>
  <c r="J129" i="8"/>
  <c r="K129" i="8"/>
  <c r="L129" i="8"/>
  <c r="M129" i="8"/>
  <c r="N129" i="8"/>
  <c r="O129" i="8"/>
  <c r="P129" i="8"/>
  <c r="Q129" i="8"/>
  <c r="R129" i="8"/>
  <c r="H129" i="8"/>
  <c r="S122" i="8"/>
  <c r="I122" i="8"/>
  <c r="J122" i="8"/>
  <c r="K122" i="8"/>
  <c r="L122" i="8"/>
  <c r="M122" i="8"/>
  <c r="N122" i="8"/>
  <c r="O122" i="8"/>
  <c r="P122" i="8"/>
  <c r="Q122" i="8"/>
  <c r="R122" i="8"/>
  <c r="H122" i="8"/>
  <c r="J115" i="8"/>
  <c r="K115" i="8"/>
  <c r="L115" i="8"/>
  <c r="M115" i="8"/>
  <c r="N115" i="8"/>
  <c r="O115" i="8"/>
  <c r="P115" i="8"/>
  <c r="Q115" i="8"/>
  <c r="R115" i="8"/>
  <c r="S115" i="8"/>
  <c r="I115" i="8"/>
  <c r="I108" i="8"/>
  <c r="J108" i="8"/>
  <c r="K108" i="8"/>
  <c r="L108" i="8"/>
  <c r="M108" i="8"/>
  <c r="N108" i="8"/>
  <c r="O108" i="8"/>
  <c r="P108" i="8"/>
  <c r="Q108" i="8"/>
  <c r="R108" i="8"/>
  <c r="S108" i="8"/>
  <c r="H108" i="8"/>
  <c r="I101" i="8"/>
  <c r="J101" i="8"/>
  <c r="K101" i="8"/>
  <c r="L101" i="8"/>
  <c r="M101" i="8"/>
  <c r="N101" i="8"/>
  <c r="O101" i="8"/>
  <c r="P101" i="8"/>
  <c r="Q101" i="8"/>
  <c r="R101" i="8"/>
  <c r="S101" i="8"/>
  <c r="H101" i="8"/>
  <c r="I94" i="8"/>
  <c r="J94" i="8"/>
  <c r="K94" i="8"/>
  <c r="L94" i="8"/>
  <c r="M94" i="8"/>
  <c r="N94" i="8"/>
  <c r="O94" i="8"/>
  <c r="P94" i="8"/>
  <c r="Q94" i="8"/>
  <c r="R94" i="8"/>
  <c r="S94" i="8"/>
  <c r="H94" i="8"/>
  <c r="S87" i="8"/>
  <c r="O87" i="8"/>
  <c r="P87" i="8"/>
  <c r="Q87" i="8"/>
  <c r="R87" i="8"/>
  <c r="N87" i="8"/>
  <c r="I73" i="8"/>
  <c r="J73" i="8"/>
  <c r="K73" i="8"/>
  <c r="L73" i="8"/>
  <c r="M73" i="8"/>
  <c r="N73" i="8"/>
  <c r="O73" i="8"/>
  <c r="P73" i="8"/>
  <c r="Q73" i="8"/>
  <c r="R73" i="8"/>
  <c r="S73" i="8"/>
  <c r="H73" i="8"/>
  <c r="I66" i="8"/>
  <c r="J66" i="8"/>
  <c r="K66" i="8"/>
  <c r="L66" i="8"/>
  <c r="M66" i="8"/>
  <c r="N66" i="8"/>
  <c r="O66" i="8"/>
  <c r="P66" i="8"/>
  <c r="Q66" i="8"/>
  <c r="R66" i="8"/>
  <c r="S66" i="8"/>
  <c r="H66" i="8"/>
  <c r="I59" i="8"/>
  <c r="J59" i="8"/>
  <c r="K59" i="8"/>
  <c r="L59" i="8"/>
  <c r="M59" i="8"/>
  <c r="N59" i="8"/>
  <c r="O59" i="8"/>
  <c r="P59" i="8"/>
  <c r="Q59" i="8"/>
  <c r="R59" i="8"/>
  <c r="S59" i="8"/>
  <c r="H59" i="8"/>
  <c r="I45" i="8"/>
  <c r="J45" i="8"/>
  <c r="K45" i="8"/>
  <c r="L45" i="8"/>
  <c r="M45" i="8"/>
  <c r="N45" i="8"/>
  <c r="O45" i="8"/>
  <c r="P45" i="8"/>
  <c r="Q45" i="8"/>
  <c r="R45" i="8"/>
  <c r="S45" i="8"/>
  <c r="H45" i="8"/>
  <c r="S38" i="8"/>
  <c r="I38" i="8"/>
  <c r="J38" i="8"/>
  <c r="K38" i="8"/>
  <c r="L38" i="8"/>
  <c r="M38" i="8"/>
  <c r="N38" i="8"/>
  <c r="O38" i="8"/>
  <c r="P38" i="8"/>
  <c r="Q38" i="8"/>
  <c r="R38" i="8"/>
  <c r="H38" i="8"/>
  <c r="I29" i="8"/>
  <c r="J29" i="8"/>
  <c r="K29" i="8"/>
  <c r="L29" i="8"/>
  <c r="M29" i="8"/>
  <c r="N29" i="8"/>
  <c r="O29" i="8"/>
  <c r="P29" i="8"/>
  <c r="Q29" i="8"/>
  <c r="R29" i="8"/>
  <c r="S29" i="8"/>
  <c r="H29" i="8"/>
  <c r="S22" i="8"/>
  <c r="I22" i="8"/>
  <c r="J22" i="8"/>
  <c r="K22" i="8"/>
  <c r="L22" i="8"/>
  <c r="M22" i="8"/>
  <c r="N22" i="8"/>
  <c r="O22" i="8"/>
  <c r="P22" i="8"/>
  <c r="Q22" i="8"/>
  <c r="R22" i="8"/>
  <c r="H22" i="8"/>
  <c r="I13" i="8"/>
  <c r="J13" i="8"/>
  <c r="K13" i="8"/>
  <c r="L13" i="8"/>
  <c r="M13" i="8"/>
  <c r="N13" i="8"/>
  <c r="O13" i="8"/>
  <c r="P13" i="8"/>
  <c r="Q13" i="8"/>
  <c r="R13" i="8"/>
  <c r="S13" i="8"/>
  <c r="H13" i="8"/>
  <c r="I6" i="8"/>
  <c r="J6" i="8"/>
  <c r="K6" i="8"/>
  <c r="L6" i="8"/>
  <c r="M6" i="8"/>
  <c r="N6" i="8"/>
  <c r="O6" i="8"/>
  <c r="P6" i="8"/>
  <c r="Q6" i="8"/>
  <c r="R6" i="8"/>
  <c r="S6" i="8"/>
  <c r="H6" i="8"/>
  <c r="N307" i="8"/>
  <c r="N300" i="8"/>
  <c r="N187" i="8"/>
  <c r="N180" i="8"/>
  <c r="N173" i="8"/>
  <c r="N159" i="8"/>
  <c r="N152" i="8"/>
  <c r="N138" i="8"/>
  <c r="N96" i="8"/>
  <c r="N103" i="8"/>
  <c r="N110" i="8"/>
  <c r="N117" i="8"/>
  <c r="N82" i="8"/>
  <c r="N75" i="8"/>
  <c r="N68" i="8"/>
  <c r="N54" i="8"/>
  <c r="N47" i="8"/>
  <c r="N40" i="8"/>
  <c r="N24" i="8"/>
  <c r="N15" i="8"/>
  <c r="N8" i="8"/>
  <c r="M284" i="8" l="1"/>
  <c r="M326" i="8"/>
  <c r="M277" i="8"/>
  <c r="M263" i="8"/>
  <c r="M253" i="8"/>
  <c r="M239" i="8"/>
  <c r="M211" i="8"/>
  <c r="M131" i="8"/>
  <c r="M124" i="8"/>
  <c r="M89" i="8"/>
  <c r="M61" i="8"/>
  <c r="M31" i="8"/>
  <c r="M319" i="8" l="1"/>
  <c r="M270" i="8"/>
  <c r="M246" i="8"/>
  <c r="M187" i="8"/>
  <c r="M291" i="8" l="1"/>
  <c r="L284" i="8"/>
  <c r="K284" i="8"/>
  <c r="L319" i="8" l="1"/>
  <c r="L270" i="8"/>
  <c r="L187" i="8" l="1"/>
  <c r="L326" i="8"/>
  <c r="L277" i="8"/>
  <c r="L263" i="8"/>
  <c r="L253" i="8"/>
  <c r="L239" i="8"/>
  <c r="L211" i="8"/>
  <c r="L166" i="8"/>
  <c r="L131" i="8"/>
  <c r="L124" i="8"/>
  <c r="L89" i="8"/>
  <c r="L61" i="8"/>
  <c r="L31" i="8"/>
  <c r="M152" i="8"/>
  <c r="M138" i="8"/>
  <c r="M307" i="8"/>
  <c r="M300" i="8"/>
  <c r="M232" i="8"/>
  <c r="M225" i="8"/>
  <c r="M218" i="8"/>
  <c r="M180" i="8"/>
  <c r="M173" i="8"/>
  <c r="M159" i="8"/>
  <c r="M117" i="8"/>
  <c r="M110" i="8"/>
  <c r="M103" i="8"/>
  <c r="M96" i="8"/>
  <c r="M82" i="8"/>
  <c r="M54" i="8"/>
  <c r="M75" i="8"/>
  <c r="M68" i="8"/>
  <c r="M47" i="8"/>
  <c r="M40" i="8"/>
  <c r="M24" i="8"/>
  <c r="M15" i="8"/>
  <c r="M8" i="8"/>
  <c r="L152" i="8" l="1"/>
  <c r="L145" i="8"/>
  <c r="K145" i="8"/>
  <c r="L138" i="8"/>
  <c r="L291" i="8" l="1"/>
  <c r="K326" i="8" l="1"/>
  <c r="K291" i="8"/>
  <c r="K277" i="8"/>
  <c r="K263" i="8"/>
  <c r="K253" i="8"/>
  <c r="L246" i="8"/>
  <c r="K246" i="8"/>
  <c r="K239" i="8"/>
  <c r="K225" i="8"/>
  <c r="K211" i="8"/>
  <c r="L192" i="8"/>
  <c r="K187" i="8"/>
  <c r="K180" i="8"/>
  <c r="K173" i="8"/>
  <c r="K166" i="8"/>
  <c r="K138" i="8"/>
  <c r="K131" i="8"/>
  <c r="K124" i="8"/>
  <c r="L117" i="8"/>
  <c r="K117" i="8"/>
  <c r="K89" i="8"/>
  <c r="K61" i="8"/>
  <c r="K31" i="8"/>
  <c r="L24" i="8"/>
  <c r="K24" i="8"/>
  <c r="K15" i="8"/>
  <c r="L8" i="8"/>
  <c r="K8" i="8"/>
  <c r="K307" i="8"/>
  <c r="L307" i="8"/>
  <c r="L232" i="8"/>
  <c r="L225" i="8"/>
  <c r="L218" i="8"/>
  <c r="L180" i="8"/>
  <c r="L173" i="8"/>
  <c r="L159" i="8"/>
  <c r="L110" i="8"/>
  <c r="L103" i="8"/>
  <c r="L96" i="8"/>
  <c r="L82" i="8"/>
  <c r="L80" i="8"/>
  <c r="L75" i="8"/>
  <c r="L68" i="8"/>
  <c r="L54" i="8"/>
  <c r="K54" i="8"/>
  <c r="L47" i="8"/>
  <c r="L40" i="8"/>
  <c r="L15" i="8"/>
  <c r="S288" i="8"/>
  <c r="R288" i="8"/>
  <c r="Q288" i="8"/>
  <c r="P288" i="8"/>
  <c r="O288" i="8"/>
  <c r="N288" i="8"/>
  <c r="M288" i="8"/>
  <c r="L288" i="8"/>
  <c r="K288" i="8"/>
  <c r="S287" i="8"/>
  <c r="R287" i="8"/>
  <c r="Q287" i="8"/>
  <c r="P287" i="8"/>
  <c r="O287" i="8"/>
  <c r="N287" i="8"/>
  <c r="M287" i="8"/>
  <c r="L287" i="8"/>
  <c r="K287" i="8"/>
  <c r="S281" i="8"/>
  <c r="R281" i="8"/>
  <c r="Q281" i="8"/>
  <c r="P281" i="8"/>
  <c r="O281" i="8"/>
  <c r="N281" i="8"/>
  <c r="M281" i="8"/>
  <c r="L281" i="8"/>
  <c r="K281" i="8"/>
  <c r="S280" i="8"/>
  <c r="R280" i="8"/>
  <c r="Q280" i="8"/>
  <c r="P280" i="8"/>
  <c r="O280" i="8"/>
  <c r="N280" i="8"/>
  <c r="M280" i="8"/>
  <c r="L280" i="8"/>
  <c r="K280" i="8"/>
  <c r="S324" i="8"/>
  <c r="R324" i="8"/>
  <c r="Q324" i="8"/>
  <c r="P324" i="8"/>
  <c r="O324" i="8"/>
  <c r="N324" i="8"/>
  <c r="M324" i="8"/>
  <c r="L324" i="8"/>
  <c r="K324" i="8"/>
  <c r="J324" i="8"/>
  <c r="I324" i="8"/>
  <c r="H324" i="8"/>
  <c r="S323" i="8"/>
  <c r="R323" i="8"/>
  <c r="Q323" i="8"/>
  <c r="P323" i="8"/>
  <c r="O323" i="8"/>
  <c r="N323" i="8"/>
  <c r="M323" i="8"/>
  <c r="L323" i="8"/>
  <c r="K323" i="8"/>
  <c r="S322" i="8"/>
  <c r="R322" i="8"/>
  <c r="Q322" i="8"/>
  <c r="P322" i="8"/>
  <c r="O322" i="8"/>
  <c r="N322" i="8"/>
  <c r="M322" i="8"/>
  <c r="L322" i="8"/>
  <c r="K322" i="8"/>
  <c r="S317" i="8"/>
  <c r="R317" i="8"/>
  <c r="Q317" i="8"/>
  <c r="P317" i="8"/>
  <c r="O317" i="8"/>
  <c r="N317" i="8"/>
  <c r="M317" i="8"/>
  <c r="L317" i="8"/>
  <c r="K317" i="8"/>
  <c r="I316" i="8"/>
  <c r="H316" i="8"/>
  <c r="I315" i="8"/>
  <c r="H315" i="8"/>
  <c r="S310" i="8"/>
  <c r="R310" i="8"/>
  <c r="Q310" i="8"/>
  <c r="P310" i="8"/>
  <c r="O310" i="8"/>
  <c r="N310" i="8"/>
  <c r="M310" i="8"/>
  <c r="L310" i="8"/>
  <c r="K310" i="8"/>
  <c r="S304" i="8"/>
  <c r="R304" i="8"/>
  <c r="Q304" i="8"/>
  <c r="P304" i="8"/>
  <c r="O304" i="8"/>
  <c r="N304" i="8"/>
  <c r="M304" i="8"/>
  <c r="L304" i="8"/>
  <c r="K304" i="8"/>
  <c r="J304" i="8"/>
  <c r="I304" i="8"/>
  <c r="H304" i="8"/>
  <c r="S303" i="8"/>
  <c r="R303" i="8"/>
  <c r="Q303" i="8"/>
  <c r="P303" i="8"/>
  <c r="O303" i="8"/>
  <c r="N303" i="8"/>
  <c r="M303" i="8"/>
  <c r="L303" i="8"/>
  <c r="K303" i="8"/>
  <c r="J303" i="8"/>
  <c r="I303" i="8"/>
  <c r="H303" i="8"/>
  <c r="L300" i="8"/>
  <c r="K300" i="8"/>
  <c r="Q297" i="8"/>
  <c r="M297" i="8"/>
  <c r="R296" i="8"/>
  <c r="P296" i="8"/>
  <c r="N296" i="8"/>
  <c r="L296" i="8"/>
  <c r="S295" i="8"/>
  <c r="S297" i="8" s="1"/>
  <c r="R295" i="8"/>
  <c r="R297" i="8" s="1"/>
  <c r="Q295" i="8"/>
  <c r="Q296" i="8" s="1"/>
  <c r="P295" i="8"/>
  <c r="P297" i="8" s="1"/>
  <c r="O295" i="8"/>
  <c r="O297" i="8" s="1"/>
  <c r="N295" i="8"/>
  <c r="N297" i="8" s="1"/>
  <c r="M295" i="8"/>
  <c r="M296" i="8" s="1"/>
  <c r="L295" i="8"/>
  <c r="L297" i="8" s="1"/>
  <c r="K295" i="8"/>
  <c r="K297" i="8" s="1"/>
  <c r="S274" i="8"/>
  <c r="R274" i="8"/>
  <c r="Q274" i="8"/>
  <c r="P274" i="8"/>
  <c r="O274" i="8"/>
  <c r="N274" i="8"/>
  <c r="M274" i="8"/>
  <c r="L274" i="8"/>
  <c r="K274" i="8"/>
  <c r="S273" i="8"/>
  <c r="R273" i="8"/>
  <c r="Q273" i="8"/>
  <c r="P273" i="8"/>
  <c r="O273" i="8"/>
  <c r="N273" i="8"/>
  <c r="M273" i="8"/>
  <c r="L273" i="8"/>
  <c r="K273" i="8"/>
  <c r="S267" i="8"/>
  <c r="R267" i="8"/>
  <c r="Q267" i="8"/>
  <c r="P267" i="8"/>
  <c r="O267" i="8"/>
  <c r="N267" i="8"/>
  <c r="M267" i="8"/>
  <c r="L267" i="8"/>
  <c r="S266" i="8"/>
  <c r="R266" i="8"/>
  <c r="Q266" i="8"/>
  <c r="P266" i="8"/>
  <c r="O266" i="8"/>
  <c r="N266" i="8"/>
  <c r="M266" i="8"/>
  <c r="L266" i="8"/>
  <c r="S260" i="8"/>
  <c r="R260" i="8"/>
  <c r="Q260" i="8"/>
  <c r="P260" i="8"/>
  <c r="O260" i="8"/>
  <c r="N260" i="8"/>
  <c r="M260" i="8"/>
  <c r="L260" i="8"/>
  <c r="K260" i="8"/>
  <c r="S259" i="8"/>
  <c r="R259" i="8"/>
  <c r="Q259" i="8"/>
  <c r="P259" i="8"/>
  <c r="O259" i="8"/>
  <c r="N259" i="8"/>
  <c r="M259" i="8"/>
  <c r="L259" i="8"/>
  <c r="K259" i="8"/>
  <c r="S250" i="8"/>
  <c r="R250" i="8"/>
  <c r="Q250" i="8"/>
  <c r="P250" i="8"/>
  <c r="O250" i="8"/>
  <c r="N250" i="8"/>
  <c r="M250" i="8"/>
  <c r="L250" i="8"/>
  <c r="K250" i="8"/>
  <c r="S249" i="8"/>
  <c r="R249" i="8"/>
  <c r="Q249" i="8"/>
  <c r="P249" i="8"/>
  <c r="O249" i="8"/>
  <c r="N249" i="8"/>
  <c r="M249" i="8"/>
  <c r="L249" i="8"/>
  <c r="K249" i="8"/>
  <c r="S246" i="8"/>
  <c r="R246" i="8"/>
  <c r="Q246" i="8"/>
  <c r="P246" i="8"/>
  <c r="O246" i="8"/>
  <c r="J246" i="8"/>
  <c r="I246" i="8"/>
  <c r="H246" i="8"/>
  <c r="S244" i="8"/>
  <c r="R244" i="8"/>
  <c r="Q244" i="8"/>
  <c r="P244" i="8"/>
  <c r="O244" i="8"/>
  <c r="N244" i="8"/>
  <c r="M244" i="8"/>
  <c r="L244" i="8"/>
  <c r="K244" i="8"/>
  <c r="S243" i="8"/>
  <c r="R243" i="8"/>
  <c r="Q243" i="8"/>
  <c r="P243" i="8"/>
  <c r="O243" i="8"/>
  <c r="N243" i="8"/>
  <c r="M243" i="8"/>
  <c r="L243" i="8"/>
  <c r="K243" i="8"/>
  <c r="J243" i="8"/>
  <c r="S242" i="8"/>
  <c r="R242" i="8"/>
  <c r="Q242" i="8"/>
  <c r="P242" i="8"/>
  <c r="O242" i="8"/>
  <c r="N242" i="8"/>
  <c r="M242" i="8"/>
  <c r="L242" i="8"/>
  <c r="K242" i="8"/>
  <c r="J242" i="8"/>
  <c r="S236" i="8"/>
  <c r="R236" i="8"/>
  <c r="Q236" i="8"/>
  <c r="P236" i="8"/>
  <c r="O236" i="8"/>
  <c r="N236" i="8"/>
  <c r="M236" i="8"/>
  <c r="L236" i="8"/>
  <c r="K236" i="8"/>
  <c r="S235" i="8"/>
  <c r="R235" i="8"/>
  <c r="Q235" i="8"/>
  <c r="P235" i="8"/>
  <c r="O235" i="8"/>
  <c r="N235" i="8"/>
  <c r="M235" i="8"/>
  <c r="L235" i="8"/>
  <c r="K235" i="8"/>
  <c r="K232" i="8"/>
  <c r="I230" i="8"/>
  <c r="H230" i="8"/>
  <c r="S229" i="8"/>
  <c r="R229" i="8"/>
  <c r="Q229" i="8"/>
  <c r="P229" i="8"/>
  <c r="O229" i="8"/>
  <c r="N229" i="8"/>
  <c r="M229" i="8"/>
  <c r="L229" i="8"/>
  <c r="K229" i="8"/>
  <c r="J229" i="8"/>
  <c r="S228" i="8"/>
  <c r="R228" i="8"/>
  <c r="Q228" i="8"/>
  <c r="P228" i="8"/>
  <c r="O228" i="8"/>
  <c r="N228" i="8"/>
  <c r="M228" i="8"/>
  <c r="L228" i="8"/>
  <c r="K228" i="8"/>
  <c r="J228" i="8"/>
  <c r="I223" i="8"/>
  <c r="H223" i="8"/>
  <c r="S222" i="8"/>
  <c r="R222" i="8"/>
  <c r="Q222" i="8"/>
  <c r="P222" i="8"/>
  <c r="O222" i="8"/>
  <c r="N222" i="8"/>
  <c r="M222" i="8"/>
  <c r="L222" i="8"/>
  <c r="K222" i="8"/>
  <c r="J222" i="8"/>
  <c r="S221" i="8"/>
  <c r="R221" i="8"/>
  <c r="Q221" i="8"/>
  <c r="P221" i="8"/>
  <c r="O221" i="8"/>
  <c r="N221" i="8"/>
  <c r="M221" i="8"/>
  <c r="L221" i="8"/>
  <c r="K221" i="8"/>
  <c r="J221" i="8"/>
  <c r="K218" i="8"/>
  <c r="I216" i="8"/>
  <c r="H216" i="8"/>
  <c r="S215" i="8"/>
  <c r="R215" i="8"/>
  <c r="Q215" i="8"/>
  <c r="P215" i="8"/>
  <c r="O215" i="8"/>
  <c r="N215" i="8"/>
  <c r="M215" i="8"/>
  <c r="L215" i="8"/>
  <c r="K215" i="8"/>
  <c r="J215" i="8"/>
  <c r="S214" i="8"/>
  <c r="R214" i="8"/>
  <c r="Q214" i="8"/>
  <c r="P214" i="8"/>
  <c r="O214" i="8"/>
  <c r="N214" i="8"/>
  <c r="M214" i="8"/>
  <c r="L214" i="8"/>
  <c r="K214" i="8"/>
  <c r="J214" i="8"/>
  <c r="S208" i="8"/>
  <c r="R208" i="8"/>
  <c r="Q208" i="8"/>
  <c r="P208" i="8"/>
  <c r="O208" i="8"/>
  <c r="N208" i="8"/>
  <c r="M208" i="8"/>
  <c r="L208" i="8"/>
  <c r="K208" i="8"/>
  <c r="S207" i="8"/>
  <c r="R207" i="8"/>
  <c r="Q207" i="8"/>
  <c r="P207" i="8"/>
  <c r="O207" i="8"/>
  <c r="N207" i="8"/>
  <c r="M207" i="8"/>
  <c r="L207" i="8"/>
  <c r="K207" i="8"/>
  <c r="J204" i="8"/>
  <c r="I204" i="8"/>
  <c r="H204" i="8"/>
  <c r="S202" i="8"/>
  <c r="R202" i="8"/>
  <c r="Q202" i="8"/>
  <c r="P202" i="8"/>
  <c r="O202" i="8"/>
  <c r="J199" i="8"/>
  <c r="I199" i="8"/>
  <c r="H199" i="8"/>
  <c r="S197" i="8"/>
  <c r="R197" i="8"/>
  <c r="Q197" i="8"/>
  <c r="P197" i="8"/>
  <c r="O197" i="8"/>
  <c r="L197" i="8"/>
  <c r="K194" i="8"/>
  <c r="S192" i="8"/>
  <c r="R192" i="8"/>
  <c r="Q192" i="8"/>
  <c r="P192" i="8"/>
  <c r="O192" i="8"/>
  <c r="N192" i="8"/>
  <c r="M192" i="8"/>
  <c r="K192" i="8"/>
  <c r="J192" i="8"/>
  <c r="I192" i="8"/>
  <c r="H192" i="8"/>
  <c r="S184" i="8"/>
  <c r="R184" i="8"/>
  <c r="Q184" i="8"/>
  <c r="P184" i="8"/>
  <c r="O184" i="8"/>
  <c r="N184" i="8"/>
  <c r="M184" i="8"/>
  <c r="L184" i="8"/>
  <c r="K184" i="8"/>
  <c r="S183" i="8"/>
  <c r="R183" i="8"/>
  <c r="Q183" i="8"/>
  <c r="P183" i="8"/>
  <c r="O183" i="8"/>
  <c r="N183" i="8"/>
  <c r="M183" i="8"/>
  <c r="L183" i="8"/>
  <c r="K183" i="8"/>
  <c r="S177" i="8"/>
  <c r="R177" i="8"/>
  <c r="Q177" i="8"/>
  <c r="P177" i="8"/>
  <c r="O177" i="8"/>
  <c r="N177" i="8"/>
  <c r="M177" i="8"/>
  <c r="L177" i="8"/>
  <c r="K177" i="8"/>
  <c r="J177" i="8"/>
  <c r="S176" i="8"/>
  <c r="R176" i="8"/>
  <c r="Q176" i="8"/>
  <c r="P176" i="8"/>
  <c r="O176" i="8"/>
  <c r="N176" i="8"/>
  <c r="M176" i="8"/>
  <c r="L176" i="8"/>
  <c r="K176" i="8"/>
  <c r="J176" i="8"/>
  <c r="S170" i="8"/>
  <c r="R170" i="8"/>
  <c r="Q170" i="8"/>
  <c r="P170" i="8"/>
  <c r="O170" i="8"/>
  <c r="N170" i="8"/>
  <c r="M170" i="8"/>
  <c r="L170" i="8"/>
  <c r="K170" i="8"/>
  <c r="J170" i="8"/>
  <c r="S169" i="8"/>
  <c r="R169" i="8"/>
  <c r="Q169" i="8"/>
  <c r="P169" i="8"/>
  <c r="O169" i="8"/>
  <c r="N169" i="8"/>
  <c r="M169" i="8"/>
  <c r="L169" i="8"/>
  <c r="K169" i="8"/>
  <c r="J169" i="8"/>
  <c r="S163" i="8"/>
  <c r="R163" i="8"/>
  <c r="Q163" i="8"/>
  <c r="P163" i="8"/>
  <c r="O163" i="8"/>
  <c r="N163" i="8"/>
  <c r="M163" i="8"/>
  <c r="L163" i="8"/>
  <c r="K163" i="8"/>
  <c r="S162" i="8"/>
  <c r="R162" i="8"/>
  <c r="Q162" i="8"/>
  <c r="P162" i="8"/>
  <c r="O162" i="8"/>
  <c r="N162" i="8"/>
  <c r="M162" i="8"/>
  <c r="L162" i="8"/>
  <c r="K162" i="8"/>
  <c r="S159" i="8"/>
  <c r="Q159" i="8"/>
  <c r="P159" i="8"/>
  <c r="O159" i="8"/>
  <c r="K159" i="8"/>
  <c r="J159" i="8"/>
  <c r="I159" i="8"/>
  <c r="H159" i="8"/>
  <c r="S157" i="8"/>
  <c r="R157" i="8"/>
  <c r="Q157" i="8"/>
  <c r="P157" i="8"/>
  <c r="O157" i="8"/>
  <c r="N157" i="8"/>
  <c r="M157" i="8"/>
  <c r="L157" i="8"/>
  <c r="K157" i="8"/>
  <c r="S156" i="8"/>
  <c r="R156" i="8"/>
  <c r="Q156" i="8"/>
  <c r="P156" i="8"/>
  <c r="O156" i="8"/>
  <c r="N156" i="8"/>
  <c r="M156" i="8"/>
  <c r="L156" i="8"/>
  <c r="S155" i="8"/>
  <c r="R155" i="8"/>
  <c r="Q155" i="8"/>
  <c r="P155" i="8"/>
  <c r="O155" i="8"/>
  <c r="N155" i="8"/>
  <c r="M155" i="8"/>
  <c r="L155" i="8"/>
  <c r="K152" i="8"/>
  <c r="S150" i="8"/>
  <c r="R150" i="8"/>
  <c r="Q150" i="8"/>
  <c r="P150" i="8"/>
  <c r="O150" i="8"/>
  <c r="N150" i="8"/>
  <c r="M150" i="8"/>
  <c r="L150" i="8"/>
  <c r="K150" i="8"/>
  <c r="J150" i="8"/>
  <c r="I150" i="8"/>
  <c r="H150" i="8"/>
  <c r="S149" i="8"/>
  <c r="R149" i="8"/>
  <c r="Q149" i="8"/>
  <c r="P149" i="8"/>
  <c r="O149" i="8"/>
  <c r="N149" i="8"/>
  <c r="M149" i="8"/>
  <c r="L149" i="8"/>
  <c r="K149" i="8"/>
  <c r="J149" i="8"/>
  <c r="I149" i="8"/>
  <c r="H149" i="8"/>
  <c r="S148" i="8"/>
  <c r="R148" i="8"/>
  <c r="Q148" i="8"/>
  <c r="P148" i="8"/>
  <c r="O148" i="8"/>
  <c r="N148" i="8"/>
  <c r="M148" i="8"/>
  <c r="L148" i="8"/>
  <c r="K148" i="8"/>
  <c r="J148" i="8"/>
  <c r="I148" i="8"/>
  <c r="H148" i="8"/>
  <c r="S145" i="8"/>
  <c r="R145" i="8"/>
  <c r="Q145" i="8"/>
  <c r="P145" i="8"/>
  <c r="O145" i="8"/>
  <c r="S142" i="8"/>
  <c r="R142" i="8"/>
  <c r="Q142" i="8"/>
  <c r="P142" i="8"/>
  <c r="O142" i="8"/>
  <c r="N142" i="8"/>
  <c r="M142" i="8"/>
  <c r="L142" i="8"/>
  <c r="K142" i="8"/>
  <c r="J142" i="8"/>
  <c r="S141" i="8"/>
  <c r="R141" i="8"/>
  <c r="Q141" i="8"/>
  <c r="P141" i="8"/>
  <c r="O141" i="8"/>
  <c r="N141" i="8"/>
  <c r="M141" i="8"/>
  <c r="L141" i="8"/>
  <c r="K141" i="8"/>
  <c r="J141" i="8"/>
  <c r="S135" i="8"/>
  <c r="R135" i="8"/>
  <c r="Q135" i="8"/>
  <c r="P135" i="8"/>
  <c r="O135" i="8"/>
  <c r="N135" i="8"/>
  <c r="M135" i="8"/>
  <c r="L135" i="8"/>
  <c r="K135" i="8"/>
  <c r="J135" i="8"/>
  <c r="I135" i="8"/>
  <c r="H135" i="8"/>
  <c r="S134" i="8"/>
  <c r="R134" i="8"/>
  <c r="Q134" i="8"/>
  <c r="P134" i="8"/>
  <c r="O134" i="8"/>
  <c r="N134" i="8"/>
  <c r="M134" i="8"/>
  <c r="L134" i="8"/>
  <c r="K134" i="8"/>
  <c r="J134" i="8"/>
  <c r="I134" i="8"/>
  <c r="H134" i="8"/>
  <c r="S128" i="8"/>
  <c r="R128" i="8"/>
  <c r="Q128" i="8"/>
  <c r="P128" i="8"/>
  <c r="O128" i="8"/>
  <c r="N128" i="8"/>
  <c r="M128" i="8"/>
  <c r="L128" i="8"/>
  <c r="K128" i="8"/>
  <c r="S127" i="8"/>
  <c r="R127" i="8"/>
  <c r="Q127" i="8"/>
  <c r="P127" i="8"/>
  <c r="O127" i="8"/>
  <c r="N127" i="8"/>
  <c r="M127" i="8"/>
  <c r="L127" i="8"/>
  <c r="K127" i="8"/>
  <c r="S121" i="8"/>
  <c r="R121" i="8"/>
  <c r="Q121" i="8"/>
  <c r="P121" i="8"/>
  <c r="O121" i="8"/>
  <c r="N121" i="8"/>
  <c r="M121" i="8"/>
  <c r="L121" i="8"/>
  <c r="K121" i="8"/>
  <c r="S120" i="8"/>
  <c r="R120" i="8"/>
  <c r="Q120" i="8"/>
  <c r="P120" i="8"/>
  <c r="O120" i="8"/>
  <c r="N120" i="8"/>
  <c r="M120" i="8"/>
  <c r="L120" i="8"/>
  <c r="K120" i="8"/>
  <c r="S114" i="8"/>
  <c r="R114" i="8"/>
  <c r="Q114" i="8"/>
  <c r="P114" i="8"/>
  <c r="O114" i="8"/>
  <c r="N114" i="8"/>
  <c r="M114" i="8"/>
  <c r="L114" i="8"/>
  <c r="S113" i="8"/>
  <c r="R113" i="8"/>
  <c r="Q113" i="8"/>
  <c r="P113" i="8"/>
  <c r="O113" i="8"/>
  <c r="N113" i="8"/>
  <c r="M113" i="8"/>
  <c r="L113" i="8"/>
  <c r="K110" i="8"/>
  <c r="S107" i="8"/>
  <c r="R107" i="8"/>
  <c r="Q107" i="8"/>
  <c r="P107" i="8"/>
  <c r="O107" i="8"/>
  <c r="N107" i="8"/>
  <c r="M107" i="8"/>
  <c r="L107" i="8"/>
  <c r="K107" i="8"/>
  <c r="J107" i="8"/>
  <c r="S106" i="8"/>
  <c r="R106" i="8"/>
  <c r="Q106" i="8"/>
  <c r="P106" i="8"/>
  <c r="O106" i="8"/>
  <c r="N106" i="8"/>
  <c r="M106" i="8"/>
  <c r="L106" i="8"/>
  <c r="K106" i="8"/>
  <c r="J106" i="8"/>
  <c r="K103" i="8"/>
  <c r="S100" i="8"/>
  <c r="R100" i="8"/>
  <c r="Q100" i="8"/>
  <c r="P100" i="8"/>
  <c r="O100" i="8"/>
  <c r="N100" i="8"/>
  <c r="M100" i="8"/>
  <c r="L100" i="8"/>
  <c r="K100" i="8"/>
  <c r="J100" i="8"/>
  <c r="I100" i="8"/>
  <c r="H100" i="8"/>
  <c r="S99" i="8"/>
  <c r="R99" i="8"/>
  <c r="Q99" i="8"/>
  <c r="P99" i="8"/>
  <c r="O99" i="8"/>
  <c r="N99" i="8"/>
  <c r="M99" i="8"/>
  <c r="L99" i="8"/>
  <c r="K99" i="8"/>
  <c r="J99" i="8"/>
  <c r="I99" i="8"/>
  <c r="H99" i="8"/>
  <c r="K96" i="8"/>
  <c r="S93" i="8"/>
  <c r="R93" i="8"/>
  <c r="Q93" i="8"/>
  <c r="P93" i="8"/>
  <c r="O93" i="8"/>
  <c r="N93" i="8"/>
  <c r="M93" i="8"/>
  <c r="L93" i="8"/>
  <c r="K93" i="8"/>
  <c r="J93" i="8"/>
  <c r="I93" i="8"/>
  <c r="H93" i="8"/>
  <c r="S92" i="8"/>
  <c r="R92" i="8"/>
  <c r="Q92" i="8"/>
  <c r="P92" i="8"/>
  <c r="O92" i="8"/>
  <c r="N92" i="8"/>
  <c r="M92" i="8"/>
  <c r="L92" i="8"/>
  <c r="K92" i="8"/>
  <c r="J92" i="8"/>
  <c r="I92" i="8"/>
  <c r="H92" i="8"/>
  <c r="M87" i="8"/>
  <c r="L87" i="8"/>
  <c r="K87" i="8"/>
  <c r="J87" i="8"/>
  <c r="I87" i="8"/>
  <c r="H87" i="8"/>
  <c r="S86" i="8"/>
  <c r="R86" i="8"/>
  <c r="Q86" i="8"/>
  <c r="P86" i="8"/>
  <c r="O86" i="8"/>
  <c r="N86" i="8"/>
  <c r="M86" i="8"/>
  <c r="L86" i="8"/>
  <c r="K86" i="8"/>
  <c r="S85" i="8"/>
  <c r="R85" i="8"/>
  <c r="Q85" i="8"/>
  <c r="P85" i="8"/>
  <c r="O85" i="8"/>
  <c r="N85" i="8"/>
  <c r="M85" i="8"/>
  <c r="L85" i="8"/>
  <c r="K85" i="8"/>
  <c r="S82" i="8"/>
  <c r="Q82" i="8"/>
  <c r="P82" i="8"/>
  <c r="O82" i="8"/>
  <c r="K82" i="8"/>
  <c r="J82" i="8"/>
  <c r="I82" i="8"/>
  <c r="H82" i="8"/>
  <c r="S80" i="8"/>
  <c r="R80" i="8"/>
  <c r="Q80" i="8"/>
  <c r="P80" i="8"/>
  <c r="O80" i="8"/>
  <c r="N80" i="8"/>
  <c r="M80" i="8"/>
  <c r="K80" i="8"/>
  <c r="S79" i="8"/>
  <c r="R79" i="8"/>
  <c r="Q79" i="8"/>
  <c r="P79" i="8"/>
  <c r="O79" i="8"/>
  <c r="N79" i="8"/>
  <c r="M79" i="8"/>
  <c r="L79" i="8"/>
  <c r="S78" i="8"/>
  <c r="R78" i="8"/>
  <c r="Q78" i="8"/>
  <c r="P78" i="8"/>
  <c r="O78" i="8"/>
  <c r="N78" i="8"/>
  <c r="M78" i="8"/>
  <c r="L78" i="8"/>
  <c r="K75" i="8"/>
  <c r="S72" i="8"/>
  <c r="R72" i="8"/>
  <c r="Q72" i="8"/>
  <c r="P72" i="8"/>
  <c r="O72" i="8"/>
  <c r="N72" i="8"/>
  <c r="M72" i="8"/>
  <c r="L72" i="8"/>
  <c r="K72" i="8"/>
  <c r="J72" i="8"/>
  <c r="I72" i="8"/>
  <c r="H72" i="8"/>
  <c r="S71" i="8"/>
  <c r="R71" i="8"/>
  <c r="Q71" i="8"/>
  <c r="P71" i="8"/>
  <c r="O71" i="8"/>
  <c r="N71" i="8"/>
  <c r="M71" i="8"/>
  <c r="L71" i="8"/>
  <c r="K71" i="8"/>
  <c r="J71" i="8"/>
  <c r="I71" i="8"/>
  <c r="H71" i="8"/>
  <c r="K68" i="8"/>
  <c r="S65" i="8"/>
  <c r="R65" i="8"/>
  <c r="Q65" i="8"/>
  <c r="P65" i="8"/>
  <c r="O65" i="8"/>
  <c r="N65" i="8"/>
  <c r="M65" i="8"/>
  <c r="L65" i="8"/>
  <c r="K65" i="8"/>
  <c r="J65" i="8"/>
  <c r="I65" i="8"/>
  <c r="H65" i="8"/>
  <c r="S64" i="8"/>
  <c r="R64" i="8"/>
  <c r="Q64" i="8"/>
  <c r="P64" i="8"/>
  <c r="O64" i="8"/>
  <c r="N64" i="8"/>
  <c r="M64" i="8"/>
  <c r="L64" i="8"/>
  <c r="K64" i="8"/>
  <c r="J64" i="8"/>
  <c r="I64" i="8"/>
  <c r="H64" i="8"/>
  <c r="S58" i="8"/>
  <c r="R58" i="8"/>
  <c r="Q58" i="8"/>
  <c r="P58" i="8"/>
  <c r="O58" i="8"/>
  <c r="N58" i="8"/>
  <c r="M58" i="8"/>
  <c r="L58" i="8"/>
  <c r="K58" i="8"/>
  <c r="S57" i="8"/>
  <c r="R57" i="8"/>
  <c r="Q57" i="8"/>
  <c r="P57" i="8"/>
  <c r="O57" i="8"/>
  <c r="N57" i="8"/>
  <c r="M57" i="8"/>
  <c r="L57" i="8"/>
  <c r="K57" i="8"/>
  <c r="S52" i="8"/>
  <c r="R52" i="8"/>
  <c r="Q52" i="8"/>
  <c r="P52" i="8"/>
  <c r="O52" i="8"/>
  <c r="N52" i="8"/>
  <c r="M52" i="8"/>
  <c r="L52" i="8"/>
  <c r="K52" i="8"/>
  <c r="J52" i="8"/>
  <c r="I52" i="8"/>
  <c r="H52" i="8"/>
  <c r="S51" i="8"/>
  <c r="R51" i="8"/>
  <c r="Q51" i="8"/>
  <c r="P51" i="8"/>
  <c r="O51" i="8"/>
  <c r="N51" i="8"/>
  <c r="M51" i="8"/>
  <c r="L51" i="8"/>
  <c r="S50" i="8"/>
  <c r="R50" i="8"/>
  <c r="Q50" i="8"/>
  <c r="P50" i="8"/>
  <c r="O50" i="8"/>
  <c r="N50" i="8"/>
  <c r="M50" i="8"/>
  <c r="L50" i="8"/>
  <c r="K47" i="8"/>
  <c r="S44" i="8"/>
  <c r="R44" i="8"/>
  <c r="Q44" i="8"/>
  <c r="P44" i="8"/>
  <c r="O44" i="8"/>
  <c r="N44" i="8"/>
  <c r="M44" i="8"/>
  <c r="L44" i="8"/>
  <c r="K44" i="8"/>
  <c r="J44" i="8"/>
  <c r="I44" i="8"/>
  <c r="H44" i="8"/>
  <c r="S43" i="8"/>
  <c r="R43" i="8"/>
  <c r="Q43" i="8"/>
  <c r="P43" i="8"/>
  <c r="O43" i="8"/>
  <c r="N43" i="8"/>
  <c r="M43" i="8"/>
  <c r="L43" i="8"/>
  <c r="K43" i="8"/>
  <c r="J43" i="8"/>
  <c r="I43" i="8"/>
  <c r="H43" i="8"/>
  <c r="K40" i="8"/>
  <c r="R37" i="8"/>
  <c r="Q37" i="8"/>
  <c r="N37" i="8"/>
  <c r="M37" i="8"/>
  <c r="S36" i="8"/>
  <c r="R36" i="8"/>
  <c r="Q36" i="8"/>
  <c r="O36" i="8"/>
  <c r="N36" i="8"/>
  <c r="M36" i="8"/>
  <c r="K36" i="8"/>
  <c r="S35" i="8"/>
  <c r="R35" i="8"/>
  <c r="Q35" i="8"/>
  <c r="P35" i="8"/>
  <c r="O35" i="8"/>
  <c r="N35" i="8"/>
  <c r="M35" i="8"/>
  <c r="L35" i="8"/>
  <c r="K35" i="8"/>
  <c r="S28" i="8"/>
  <c r="R28" i="8"/>
  <c r="Q28" i="8"/>
  <c r="P28" i="8"/>
  <c r="O28" i="8"/>
  <c r="N28" i="8"/>
  <c r="M28" i="8"/>
  <c r="L28" i="8"/>
  <c r="K28" i="8"/>
  <c r="S27" i="8"/>
  <c r="R27" i="8"/>
  <c r="Q27" i="8"/>
  <c r="P27" i="8"/>
  <c r="O27" i="8"/>
  <c r="N27" i="8"/>
  <c r="M27" i="8"/>
  <c r="L27" i="8"/>
  <c r="K27" i="8"/>
  <c r="Q21" i="8"/>
  <c r="P21" i="8"/>
  <c r="M21" i="8"/>
  <c r="L21" i="8"/>
  <c r="R20" i="8"/>
  <c r="Q20" i="8"/>
  <c r="P20" i="8"/>
  <c r="N20" i="8"/>
  <c r="M20" i="8"/>
  <c r="L20" i="8"/>
  <c r="S19" i="8"/>
  <c r="R19" i="8"/>
  <c r="Q19" i="8"/>
  <c r="P19" i="8"/>
  <c r="O19" i="8"/>
  <c r="N19" i="8"/>
  <c r="M19" i="8"/>
  <c r="L19" i="8"/>
  <c r="K19" i="8"/>
  <c r="S12" i="8"/>
  <c r="R12" i="8"/>
  <c r="Q12" i="8"/>
  <c r="P12" i="8"/>
  <c r="O12" i="8"/>
  <c r="N12" i="8"/>
  <c r="M12" i="8"/>
  <c r="L12" i="8"/>
  <c r="K12" i="8"/>
  <c r="J12" i="8"/>
  <c r="I12" i="8"/>
  <c r="H12" i="8"/>
  <c r="S11" i="8"/>
  <c r="R11" i="8"/>
  <c r="Q11" i="8"/>
  <c r="P11" i="8"/>
  <c r="O11" i="8"/>
  <c r="N11" i="8"/>
  <c r="M11" i="8"/>
  <c r="L11" i="8"/>
  <c r="K11" i="8"/>
  <c r="J11" i="8"/>
  <c r="I11" i="8"/>
  <c r="H11" i="8"/>
  <c r="S5" i="8"/>
  <c r="R5" i="8"/>
  <c r="Q5" i="8"/>
  <c r="P5" i="8"/>
  <c r="O5" i="8"/>
  <c r="N5" i="8"/>
  <c r="M5" i="8"/>
  <c r="L5" i="8"/>
  <c r="K5" i="8"/>
  <c r="J5" i="8"/>
  <c r="I5" i="8"/>
  <c r="H5" i="8"/>
  <c r="S4" i="8"/>
  <c r="R4" i="8"/>
  <c r="Q4" i="8"/>
  <c r="P4" i="8"/>
  <c r="O4" i="8"/>
  <c r="N4" i="8"/>
  <c r="M4" i="8"/>
  <c r="L4" i="8"/>
  <c r="K4" i="8"/>
  <c r="J4" i="8"/>
  <c r="I4" i="8"/>
  <c r="H4" i="8"/>
  <c r="K20" i="8" l="1"/>
  <c r="O20" i="8"/>
  <c r="S20" i="8"/>
  <c r="N21" i="8"/>
  <c r="R21" i="8"/>
  <c r="L36" i="8"/>
  <c r="P36" i="8"/>
  <c r="K37" i="8"/>
  <c r="O37" i="8"/>
  <c r="S37" i="8"/>
  <c r="K296" i="8"/>
  <c r="O296" i="8"/>
  <c r="S296" i="8"/>
  <c r="K21" i="8"/>
  <c r="O21" i="8"/>
  <c r="S21" i="8"/>
  <c r="L37" i="8"/>
  <c r="P37" i="8"/>
</calcChain>
</file>

<file path=xl/comments1.xml><?xml version="1.0" encoding="utf-8"?>
<comments xmlns="http://schemas.openxmlformats.org/spreadsheetml/2006/main">
  <authors>
    <author>Lin</author>
    <author>CRB</author>
    <author>chenwenjia</author>
    <author>Administrator</author>
  </authors>
  <commentList>
    <comment ref="R48" authorId="0" shapeId="0">
      <text>
        <r>
          <rPr>
            <sz val="9"/>
            <rFont val="宋体"/>
            <family val="3"/>
            <charset val="134"/>
          </rPr>
          <t>Lin:
11月拿过数据90%的配入率中有91%左右在预计时间内配入</t>
        </r>
      </text>
    </comment>
    <comment ref="R76" authorId="0" shapeId="0">
      <text>
        <r>
          <rPr>
            <sz val="9"/>
            <rFont val="宋体"/>
            <family val="3"/>
            <charset val="134"/>
          </rPr>
          <t>Lin:
11月拿过数据90%的配入率中有91%左右在预计时间内配入</t>
        </r>
      </text>
    </comment>
    <comment ref="N140" authorId="1" shapeId="0">
      <text>
        <r>
          <rPr>
            <sz val="9"/>
            <color indexed="81"/>
            <rFont val="宋体"/>
            <family val="3"/>
            <charset val="134"/>
          </rPr>
          <t>统计口径改变，调整目标值</t>
        </r>
      </text>
    </comment>
    <comment ref="R153" authorId="0" shapeId="0">
      <text>
        <r>
          <rPr>
            <sz val="9"/>
            <rFont val="宋体"/>
            <family val="3"/>
            <charset val="134"/>
          </rPr>
          <t>Lin:
11月拿过数据90%的配入率中有91%左右在预计时间内配入</t>
        </r>
      </text>
    </comment>
    <comment ref="K213" authorId="2" shapeId="0">
      <text>
        <r>
          <rPr>
            <sz val="9"/>
            <rFont val="宋体"/>
            <family val="3"/>
            <charset val="134"/>
          </rPr>
          <t xml:space="preserve">chenwenjia:
现在实际是4.6%
</t>
        </r>
      </text>
    </comment>
    <comment ref="Q213" authorId="2" shapeId="0">
      <text>
        <r>
          <rPr>
            <sz val="9"/>
            <rFont val="宋体"/>
            <family val="3"/>
            <charset val="134"/>
          </rPr>
          <t>chenwenjia:
原5.5%</t>
        </r>
      </text>
    </comment>
    <comment ref="K220" authorId="2" shapeId="0">
      <text>
        <r>
          <rPr>
            <sz val="9"/>
            <rFont val="宋体"/>
            <family val="3"/>
            <charset val="134"/>
          </rPr>
          <t>chenwenjia:
现在实际是95.03%</t>
        </r>
      </text>
    </comment>
    <comment ref="K227" authorId="2" shapeId="0">
      <text>
        <r>
          <rPr>
            <sz val="9"/>
            <rFont val="宋体"/>
            <family val="3"/>
            <charset val="134"/>
          </rPr>
          <t xml:space="preserve">chenwenjia:
现在95.79%
</t>
        </r>
      </text>
    </comment>
    <comment ref="B285" authorId="3" shapeId="0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2020年的存单利率没有2019年高，总收益是高的，但是占比是降低的，办法是等待银行生产新产品，具体看财务部收益计算</t>
        </r>
      </text>
    </comment>
  </commentList>
</comments>
</file>

<file path=xl/sharedStrings.xml><?xml version="1.0" encoding="utf-8"?>
<sst xmlns="http://schemas.openxmlformats.org/spreadsheetml/2006/main" count="572" uniqueCount="151">
  <si>
    <t>DAU</t>
  </si>
  <si>
    <t>VIP</t>
  </si>
  <si>
    <t>/</t>
  </si>
  <si>
    <r>
      <rPr>
        <b/>
        <sz val="11"/>
        <rFont val="微软雅黑"/>
        <family val="2"/>
        <charset val="134"/>
      </rPr>
      <t>部门</t>
    </r>
  </si>
  <si>
    <r>
      <rPr>
        <b/>
        <sz val="11"/>
        <rFont val="微软雅黑"/>
        <family val="2"/>
        <charset val="134"/>
      </rPr>
      <t>指标项</t>
    </r>
  </si>
  <si>
    <r>
      <rPr>
        <b/>
        <sz val="11"/>
        <rFont val="微软雅黑"/>
        <family val="2"/>
        <charset val="134"/>
      </rPr>
      <t>指标定义</t>
    </r>
    <r>
      <rPr>
        <b/>
        <sz val="11"/>
        <rFont val="Arial"/>
        <family val="2"/>
      </rPr>
      <t>/</t>
    </r>
    <r>
      <rPr>
        <b/>
        <sz val="11"/>
        <rFont val="微软雅黑"/>
        <family val="2"/>
        <charset val="134"/>
      </rPr>
      <t>统计口径</t>
    </r>
  </si>
  <si>
    <r>
      <rPr>
        <b/>
        <sz val="11"/>
        <rFont val="微软雅黑"/>
        <family val="2"/>
        <charset val="134"/>
      </rPr>
      <t>权重占比</t>
    </r>
  </si>
  <si>
    <r>
      <rPr>
        <b/>
        <sz val="11"/>
        <rFont val="微软雅黑"/>
        <family val="2"/>
        <charset val="134"/>
      </rPr>
      <t>数值</t>
    </r>
  </si>
  <si>
    <r>
      <t>1</t>
    </r>
    <r>
      <rPr>
        <b/>
        <sz val="11"/>
        <rFont val="微软雅黑"/>
        <family val="2"/>
        <charset val="134"/>
      </rPr>
      <t>月</t>
    </r>
  </si>
  <si>
    <r>
      <t>2</t>
    </r>
    <r>
      <rPr>
        <b/>
        <sz val="11"/>
        <rFont val="微软雅黑"/>
        <family val="2"/>
        <charset val="134"/>
      </rPr>
      <t>月</t>
    </r>
  </si>
  <si>
    <r>
      <t>3</t>
    </r>
    <r>
      <rPr>
        <b/>
        <sz val="11"/>
        <rFont val="微软雅黑"/>
        <family val="2"/>
        <charset val="134"/>
      </rPr>
      <t>月</t>
    </r>
  </si>
  <si>
    <r>
      <t>6</t>
    </r>
    <r>
      <rPr>
        <b/>
        <sz val="11"/>
        <rFont val="微软雅黑"/>
        <family val="2"/>
        <charset val="134"/>
      </rPr>
      <t>月</t>
    </r>
  </si>
  <si>
    <r>
      <t>7</t>
    </r>
    <r>
      <rPr>
        <b/>
        <sz val="11"/>
        <rFont val="微软雅黑"/>
        <family val="2"/>
        <charset val="134"/>
      </rPr>
      <t>月</t>
    </r>
  </si>
  <si>
    <r>
      <t>8</t>
    </r>
    <r>
      <rPr>
        <b/>
        <sz val="11"/>
        <rFont val="微软雅黑"/>
        <family val="2"/>
        <charset val="134"/>
      </rPr>
      <t>月</t>
    </r>
  </si>
  <si>
    <r>
      <t>9</t>
    </r>
    <r>
      <rPr>
        <b/>
        <sz val="11"/>
        <rFont val="微软雅黑"/>
        <family val="2"/>
        <charset val="134"/>
      </rPr>
      <t>月</t>
    </r>
  </si>
  <si>
    <r>
      <t>10</t>
    </r>
    <r>
      <rPr>
        <b/>
        <sz val="11"/>
        <rFont val="微软雅黑"/>
        <family val="2"/>
        <charset val="134"/>
      </rPr>
      <t>月</t>
    </r>
  </si>
  <si>
    <r>
      <t>11</t>
    </r>
    <r>
      <rPr>
        <b/>
        <sz val="11"/>
        <rFont val="微软雅黑"/>
        <family val="2"/>
        <charset val="134"/>
      </rPr>
      <t>月</t>
    </r>
  </si>
  <si>
    <r>
      <t>12</t>
    </r>
    <r>
      <rPr>
        <b/>
        <sz val="11"/>
        <rFont val="微软雅黑"/>
        <family val="2"/>
        <charset val="134"/>
      </rPr>
      <t>月</t>
    </r>
  </si>
  <si>
    <r>
      <rPr>
        <sz val="11"/>
        <rFont val="微软雅黑"/>
        <family val="2"/>
        <charset val="134"/>
      </rPr>
      <t>运营部</t>
    </r>
  </si>
  <si>
    <r>
      <rPr>
        <sz val="11"/>
        <rFont val="微软雅黑"/>
        <family val="2"/>
        <charset val="134"/>
      </rPr>
      <t>渗透率</t>
    </r>
  </si>
  <si>
    <r>
      <rPr>
        <sz val="11"/>
        <rFont val="微软雅黑"/>
        <family val="2"/>
        <charset val="134"/>
      </rPr>
      <t>月客单：支付用户的月均销售额</t>
    </r>
  </si>
  <si>
    <r>
      <rPr>
        <sz val="11"/>
        <rFont val="微软雅黑"/>
        <family val="2"/>
        <charset val="134"/>
      </rPr>
      <t>比目标每高出</t>
    </r>
    <r>
      <rPr>
        <sz val="11"/>
        <rFont val="Arial"/>
        <family val="2"/>
      </rPr>
      <t>2.5% +5</t>
    </r>
    <r>
      <rPr>
        <sz val="11"/>
        <rFont val="微软雅黑"/>
        <family val="2"/>
        <charset val="134"/>
      </rPr>
      <t>分，比目标每低</t>
    </r>
    <r>
      <rPr>
        <sz val="11"/>
        <rFont val="Arial"/>
        <family val="2"/>
      </rPr>
      <t>2.5%  -5</t>
    </r>
    <r>
      <rPr>
        <sz val="11"/>
        <rFont val="微软雅黑"/>
        <family val="2"/>
        <charset val="134"/>
      </rPr>
      <t>分</t>
    </r>
  </si>
  <si>
    <r>
      <t>2019</t>
    </r>
    <r>
      <rPr>
        <b/>
        <sz val="11"/>
        <rFont val="微软雅黑"/>
        <family val="2"/>
        <charset val="134"/>
      </rPr>
      <t>年</t>
    </r>
  </si>
  <si>
    <r>
      <t>2020</t>
    </r>
    <r>
      <rPr>
        <b/>
        <sz val="11"/>
        <rFont val="微软雅黑"/>
        <family val="2"/>
        <charset val="134"/>
      </rPr>
      <t>年</t>
    </r>
  </si>
  <si>
    <r>
      <rPr>
        <b/>
        <sz val="11"/>
        <rFont val="微软雅黑"/>
        <family val="2"/>
        <charset val="134"/>
      </rPr>
      <t>目标同比去年</t>
    </r>
  </si>
  <si>
    <r>
      <rPr>
        <sz val="11"/>
        <rFont val="微软雅黑"/>
        <family val="2"/>
        <charset val="134"/>
      </rPr>
      <t>每日登录用户数</t>
    </r>
  </si>
  <si>
    <r>
      <t>150</t>
    </r>
    <r>
      <rPr>
        <b/>
        <sz val="11"/>
        <rFont val="微软雅黑"/>
        <family val="2"/>
        <charset val="134"/>
      </rPr>
      <t>分线</t>
    </r>
  </si>
  <si>
    <r>
      <t>60</t>
    </r>
    <r>
      <rPr>
        <b/>
        <sz val="11"/>
        <rFont val="微软雅黑"/>
        <family val="2"/>
        <charset val="134"/>
      </rPr>
      <t>分线</t>
    </r>
  </si>
  <si>
    <r>
      <rPr>
        <sz val="11"/>
        <rFont val="微软雅黑"/>
        <family val="2"/>
        <charset val="134"/>
      </rPr>
      <t>销售额</t>
    </r>
  </si>
  <si>
    <r>
      <rPr>
        <sz val="11"/>
        <rFont val="微软雅黑"/>
        <family val="2"/>
        <charset val="134"/>
      </rPr>
      <t>月销售额（按专场开场日期，本月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日早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点开场到本月最后一天开场的专场结束后累计支付销售额计算）</t>
    </r>
  </si>
  <si>
    <r>
      <rPr>
        <sz val="11"/>
        <rFont val="微软雅黑"/>
        <family val="2"/>
        <charset val="134"/>
      </rPr>
      <t>（挑战版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正常版目标）</t>
    </r>
    <r>
      <rPr>
        <sz val="11"/>
        <rFont val="Arial"/>
        <family val="2"/>
      </rPr>
      <t xml:space="preserve">/10  </t>
    </r>
    <r>
      <rPr>
        <sz val="11"/>
        <rFont val="微软雅黑"/>
        <family val="2"/>
        <charset val="134"/>
      </rPr>
      <t>每提升一个刻度</t>
    </r>
    <r>
      <rPr>
        <sz val="11"/>
        <rFont val="Arial"/>
        <family val="2"/>
      </rPr>
      <t>+5</t>
    </r>
    <r>
      <rPr>
        <sz val="11"/>
        <rFont val="微软雅黑"/>
        <family val="2"/>
        <charset val="134"/>
      </rPr>
      <t>分；每降低一个刻度</t>
    </r>
    <r>
      <rPr>
        <sz val="11"/>
        <rFont val="Arial"/>
        <family val="2"/>
      </rPr>
      <t>-5</t>
    </r>
    <r>
      <rPr>
        <sz val="11"/>
        <rFont val="微软雅黑"/>
        <family val="2"/>
        <charset val="134"/>
      </rPr>
      <t>分</t>
    </r>
  </si>
  <si>
    <r>
      <t>2020</t>
    </r>
    <r>
      <rPr>
        <b/>
        <sz val="11"/>
        <rFont val="微软雅黑"/>
        <family val="2"/>
        <charset val="134"/>
      </rPr>
      <t>年正常版目标</t>
    </r>
  </si>
  <si>
    <r>
      <t>2020</t>
    </r>
    <r>
      <rPr>
        <b/>
        <sz val="11"/>
        <rFont val="微软雅黑"/>
        <family val="2"/>
        <charset val="134"/>
      </rPr>
      <t>挑战版目标</t>
    </r>
  </si>
  <si>
    <r>
      <rPr>
        <b/>
        <sz val="11"/>
        <rFont val="微软雅黑"/>
        <family val="2"/>
        <charset val="134"/>
      </rPr>
      <t>每个刻度销售额</t>
    </r>
    <r>
      <rPr>
        <b/>
        <sz val="11"/>
        <rFont val="Arial"/>
        <family val="2"/>
      </rPr>
      <t>(5</t>
    </r>
    <r>
      <rPr>
        <b/>
        <sz val="11"/>
        <rFont val="微软雅黑"/>
        <family val="2"/>
        <charset val="134"/>
      </rPr>
      <t>分）</t>
    </r>
  </si>
  <si>
    <r>
      <rPr>
        <sz val="11"/>
        <rFont val="微软雅黑"/>
        <family val="2"/>
        <charset val="134"/>
      </rPr>
      <t>费用率</t>
    </r>
  </si>
  <si>
    <r>
      <rPr>
        <sz val="11"/>
        <rFont val="微软雅黑"/>
        <family val="2"/>
        <charset val="134"/>
      </rPr>
      <t>部门费用总额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折后实发销售额（统计时间：按照往前一个月的实际费用率）</t>
    </r>
  </si>
  <si>
    <r>
      <rPr>
        <sz val="11"/>
        <rFont val="微软雅黑"/>
        <family val="2"/>
        <charset val="134"/>
      </rPr>
      <t>比预算费用率每降低</t>
    </r>
    <r>
      <rPr>
        <sz val="11"/>
        <rFont val="Arial"/>
        <family val="2"/>
      </rPr>
      <t>3%</t>
    </r>
    <r>
      <rPr>
        <sz val="11"/>
        <rFont val="微软雅黑"/>
        <family val="2"/>
        <charset val="134"/>
      </rPr>
      <t>，</t>
    </r>
    <r>
      <rPr>
        <sz val="11"/>
        <rFont val="Arial"/>
        <family val="2"/>
      </rPr>
      <t>+5</t>
    </r>
    <r>
      <rPr>
        <sz val="11"/>
        <rFont val="微软雅黑"/>
        <family val="2"/>
        <charset val="134"/>
      </rPr>
      <t>分；比预算费用率每增加</t>
    </r>
    <r>
      <rPr>
        <sz val="11"/>
        <rFont val="Arial"/>
        <family val="2"/>
      </rPr>
      <t>3%</t>
    </r>
    <r>
      <rPr>
        <sz val="11"/>
        <rFont val="微软雅黑"/>
        <family val="2"/>
        <charset val="134"/>
      </rPr>
      <t>，</t>
    </r>
    <r>
      <rPr>
        <sz val="11"/>
        <rFont val="Arial"/>
        <family val="2"/>
      </rPr>
      <t>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</si>
  <si>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商务中心</t>
    </r>
  </si>
  <si>
    <r>
      <rPr>
        <sz val="11"/>
        <rFont val="微软雅黑"/>
        <family val="2"/>
        <charset val="134"/>
      </rPr>
      <t>月销售额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（按专场开场日期，本月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日早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点开场到本月最后一天开场的专场结束后累计支付销售额计算）</t>
    </r>
  </si>
  <si>
    <r>
      <t>3</t>
    </r>
    <r>
      <rPr>
        <sz val="11"/>
        <rFont val="微软雅黑"/>
        <family val="2"/>
        <charset val="134"/>
      </rPr>
      <t>件动销率</t>
    </r>
  </si>
  <si>
    <r>
      <rPr>
        <sz val="11"/>
        <rFont val="微软雅黑"/>
        <family val="2"/>
        <charset val="134"/>
      </rPr>
      <t>每期公域销量</t>
    </r>
    <r>
      <rPr>
        <sz val="11"/>
        <rFont val="Arial"/>
        <family val="2"/>
      </rPr>
      <t>3</t>
    </r>
    <r>
      <rPr>
        <sz val="11"/>
        <rFont val="微软雅黑"/>
        <family val="2"/>
        <charset val="134"/>
      </rPr>
      <t>件及以上的款数占每期总上架公域款数</t>
    </r>
    <r>
      <rPr>
        <sz val="11"/>
        <rFont val="Arial"/>
        <family val="2"/>
      </rPr>
      <t>(</t>
    </r>
    <r>
      <rPr>
        <sz val="11"/>
        <rFont val="微软雅黑"/>
        <family val="2"/>
        <charset val="134"/>
      </rPr>
      <t>剔除现货和客户自主补货款）的占比</t>
    </r>
  </si>
  <si>
    <r>
      <rPr>
        <sz val="11"/>
        <rFont val="微软雅黑"/>
        <family val="2"/>
        <charset val="134"/>
      </rPr>
      <t>比目标绝对值每增加</t>
    </r>
    <r>
      <rPr>
        <sz val="11"/>
        <rFont val="Arial"/>
        <family val="2"/>
      </rPr>
      <t>0.25% +5</t>
    </r>
    <r>
      <rPr>
        <sz val="11"/>
        <rFont val="微软雅黑"/>
        <family val="2"/>
        <charset val="134"/>
      </rPr>
      <t>分，比目标每增加</t>
    </r>
    <r>
      <rPr>
        <sz val="11"/>
        <rFont val="Arial"/>
        <family val="2"/>
      </rPr>
      <t>0.25%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</si>
  <si>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履约准确率</t>
    </r>
  </si>
  <si>
    <r>
      <rPr>
        <sz val="11"/>
        <rFont val="微软雅黑"/>
        <family val="2"/>
        <charset val="134"/>
      </rPr>
      <t>用户下单的商品能在承诺时间内被配入且偏差在超时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天或提前</t>
    </r>
    <r>
      <rPr>
        <sz val="11"/>
        <rFont val="Arial"/>
        <family val="2"/>
      </rPr>
      <t>2</t>
    </r>
    <r>
      <rPr>
        <sz val="11"/>
        <rFont val="微软雅黑"/>
        <family val="2"/>
        <charset val="134"/>
      </rPr>
      <t>天内（履约标准线</t>
    </r>
    <r>
      <rPr>
        <sz val="11"/>
        <rFont val="Arial"/>
        <family val="2"/>
      </rPr>
      <t>——</t>
    </r>
    <r>
      <rPr>
        <sz val="11"/>
        <rFont val="微软雅黑"/>
        <family val="2"/>
        <charset val="134"/>
      </rPr>
      <t>档口现货</t>
    </r>
    <r>
      <rPr>
        <sz val="11"/>
        <rFont val="Arial"/>
        <family val="2"/>
      </rPr>
      <t>48h</t>
    </r>
    <r>
      <rPr>
        <sz val="11"/>
        <rFont val="微软雅黑"/>
        <family val="2"/>
        <charset val="134"/>
      </rPr>
      <t>可配，若排单需要</t>
    </r>
    <r>
      <rPr>
        <sz val="11"/>
        <rFont val="Arial"/>
        <family val="2"/>
      </rPr>
      <t>x</t>
    </r>
    <r>
      <rPr>
        <sz val="11"/>
        <rFont val="微软雅黑"/>
        <family val="2"/>
        <charset val="134"/>
      </rPr>
      <t>天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则在</t>
    </r>
    <r>
      <rPr>
        <sz val="11"/>
        <rFont val="Arial"/>
        <family val="2"/>
      </rPr>
      <t xml:space="preserve"> x-2</t>
    </r>
    <r>
      <rPr>
        <sz val="11"/>
        <rFont val="微软雅黑"/>
        <family val="2"/>
        <charset val="134"/>
      </rPr>
      <t>或</t>
    </r>
    <r>
      <rPr>
        <sz val="11"/>
        <rFont val="Arial"/>
        <family val="2"/>
      </rPr>
      <t>x+1</t>
    </r>
    <r>
      <rPr>
        <sz val="11"/>
        <rFont val="微软雅黑"/>
        <family val="2"/>
        <charset val="134"/>
      </rPr>
      <t xml:space="preserve">天配入）
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统计时间：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从上月</t>
    </r>
    <r>
      <rPr>
        <sz val="11"/>
        <rFont val="Arial"/>
        <family val="2"/>
      </rPr>
      <t>16</t>
    </r>
    <r>
      <rPr>
        <sz val="11"/>
        <rFont val="微软雅黑"/>
        <family val="2"/>
        <charset val="134"/>
      </rPr>
      <t>日早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</t>
    </r>
    <r>
      <rPr>
        <sz val="11"/>
        <rFont val="Arial"/>
        <family val="2"/>
      </rPr>
      <t xml:space="preserve"> -</t>
    </r>
    <r>
      <rPr>
        <sz val="11"/>
        <rFont val="微软雅黑"/>
        <family val="2"/>
        <charset val="134"/>
      </rPr>
      <t>到本月</t>
    </r>
    <r>
      <rPr>
        <sz val="11"/>
        <rFont val="Arial"/>
        <family val="2"/>
      </rPr>
      <t>15</t>
    </r>
    <r>
      <rPr>
        <sz val="11"/>
        <rFont val="微软雅黑"/>
        <family val="2"/>
        <charset val="134"/>
      </rPr>
      <t>日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点开场的货品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每月</t>
    </r>
    <r>
      <rPr>
        <sz val="11"/>
        <rFont val="Arial"/>
        <family val="2"/>
      </rPr>
      <t>30</t>
    </r>
    <r>
      <rPr>
        <sz val="11"/>
        <rFont val="微软雅黑"/>
        <family val="2"/>
        <charset val="134"/>
      </rPr>
      <t>日取数；</t>
    </r>
  </si>
  <si>
    <r>
      <rPr>
        <sz val="11"/>
        <rFont val="微软雅黑"/>
        <family val="2"/>
        <charset val="134"/>
      </rPr>
      <t>比目标绝对值每增加</t>
    </r>
    <r>
      <rPr>
        <sz val="11"/>
        <rFont val="Arial"/>
        <family val="2"/>
      </rPr>
      <t>0.5% +5</t>
    </r>
    <r>
      <rPr>
        <sz val="11"/>
        <rFont val="微软雅黑"/>
        <family val="2"/>
        <charset val="134"/>
      </rPr>
      <t>分，比目标每降低</t>
    </r>
    <r>
      <rPr>
        <sz val="11"/>
        <rFont val="Arial"/>
        <family val="2"/>
      </rPr>
      <t>0.5%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</si>
  <si>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暂无数据，数据模型还没有跑通，需要</t>
    </r>
    <r>
      <rPr>
        <sz val="11"/>
        <rFont val="Arial"/>
        <family val="2"/>
      </rPr>
      <t>3</t>
    </r>
    <r>
      <rPr>
        <sz val="11"/>
        <rFont val="微软雅黑"/>
        <family val="2"/>
        <charset val="134"/>
      </rPr>
      <t>个月时间沉淀数据</t>
    </r>
  </si>
  <si>
    <r>
      <rPr>
        <sz val="11"/>
        <rFont val="微软雅黑"/>
        <family val="2"/>
        <charset val="134"/>
      </rPr>
      <t>部门费用总额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折后实发销售额</t>
    </r>
  </si>
  <si>
    <r>
      <rPr>
        <sz val="11"/>
        <rFont val="微软雅黑"/>
        <family val="2"/>
        <charset val="134"/>
      </rPr>
      <t>产品部</t>
    </r>
  </si>
  <si>
    <r>
      <t>UV</t>
    </r>
    <r>
      <rPr>
        <sz val="11"/>
        <rFont val="微软雅黑"/>
        <family val="2"/>
        <charset val="134"/>
      </rPr>
      <t>价值</t>
    </r>
  </si>
  <si>
    <r>
      <rPr>
        <sz val="11"/>
        <rFont val="微软雅黑"/>
        <family val="2"/>
        <charset val="134"/>
      </rPr>
      <t>月</t>
    </r>
    <r>
      <rPr>
        <sz val="11"/>
        <rFont val="Arial"/>
        <family val="2"/>
      </rPr>
      <t>UV</t>
    </r>
    <r>
      <rPr>
        <sz val="11"/>
        <rFont val="微软雅黑"/>
        <family val="2"/>
        <charset val="134"/>
      </rPr>
      <t>价值</t>
    </r>
    <r>
      <rPr>
        <sz val="11"/>
        <rFont val="Arial"/>
        <family val="2"/>
      </rPr>
      <t>=</t>
    </r>
    <r>
      <rPr>
        <sz val="11"/>
        <rFont val="微软雅黑"/>
        <family val="2"/>
        <charset val="134"/>
      </rPr>
      <t>月销售额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月登录用户数</t>
    </r>
  </si>
  <si>
    <r>
      <rPr>
        <sz val="11"/>
        <rFont val="微软雅黑"/>
        <family val="2"/>
        <charset val="134"/>
      </rPr>
      <t>比目标每高出</t>
    </r>
    <r>
      <rPr>
        <sz val="11"/>
        <rFont val="Arial"/>
        <family val="2"/>
      </rPr>
      <t>1.5% +5</t>
    </r>
    <r>
      <rPr>
        <sz val="11"/>
        <rFont val="微软雅黑"/>
        <family val="2"/>
        <charset val="134"/>
      </rPr>
      <t>分，比目标每降低</t>
    </r>
    <r>
      <rPr>
        <sz val="11"/>
        <rFont val="Arial"/>
        <family val="2"/>
      </rPr>
      <t>1.5%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</si>
  <si>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次月复购率</t>
    </r>
  </si>
  <si>
    <r>
      <rPr>
        <sz val="11"/>
        <rFont val="微软雅黑"/>
        <family val="2"/>
        <charset val="134"/>
      </rPr>
      <t>本月购买的用户里，上月也有购买的用户数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上月购买总用户</t>
    </r>
  </si>
  <si>
    <r>
      <rPr>
        <sz val="11"/>
        <rFont val="微软雅黑"/>
        <family val="2"/>
        <charset val="134"/>
      </rPr>
      <t>比目标绝对值每高出</t>
    </r>
    <r>
      <rPr>
        <sz val="11"/>
        <rFont val="Arial"/>
        <family val="2"/>
      </rPr>
      <t>0.5% +5</t>
    </r>
    <r>
      <rPr>
        <sz val="11"/>
        <rFont val="微软雅黑"/>
        <family val="2"/>
        <charset val="134"/>
      </rPr>
      <t>分，比目标绝对值每低</t>
    </r>
    <r>
      <rPr>
        <sz val="11"/>
        <rFont val="Arial"/>
        <family val="2"/>
      </rPr>
      <t>0.5%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</si>
  <si>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用户下单的商品能在承诺时间内被配入且偏差在超时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天或提前</t>
    </r>
    <r>
      <rPr>
        <sz val="11"/>
        <rFont val="Arial"/>
        <family val="2"/>
      </rPr>
      <t>2</t>
    </r>
    <r>
      <rPr>
        <sz val="11"/>
        <rFont val="微软雅黑"/>
        <family val="2"/>
        <charset val="134"/>
      </rPr>
      <t>天内（履约标准线</t>
    </r>
    <r>
      <rPr>
        <sz val="11"/>
        <rFont val="Arial"/>
        <family val="2"/>
      </rPr>
      <t>——</t>
    </r>
    <r>
      <rPr>
        <sz val="11"/>
        <rFont val="微软雅黑"/>
        <family val="2"/>
        <charset val="134"/>
      </rPr>
      <t>档口现货</t>
    </r>
    <r>
      <rPr>
        <sz val="11"/>
        <rFont val="Arial"/>
        <family val="2"/>
      </rPr>
      <t>48h</t>
    </r>
    <r>
      <rPr>
        <sz val="11"/>
        <rFont val="微软雅黑"/>
        <family val="2"/>
        <charset val="134"/>
      </rPr>
      <t>可配，若排单需要</t>
    </r>
    <r>
      <rPr>
        <sz val="11"/>
        <rFont val="Arial"/>
        <family val="2"/>
      </rPr>
      <t>x</t>
    </r>
    <r>
      <rPr>
        <sz val="11"/>
        <rFont val="微软雅黑"/>
        <family val="2"/>
        <charset val="134"/>
      </rPr>
      <t>天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则在</t>
    </r>
    <r>
      <rPr>
        <sz val="11"/>
        <rFont val="Arial"/>
        <family val="2"/>
      </rPr>
      <t xml:space="preserve"> x-2</t>
    </r>
    <r>
      <rPr>
        <sz val="11"/>
        <rFont val="微软雅黑"/>
        <family val="2"/>
        <charset val="134"/>
      </rPr>
      <t>或</t>
    </r>
    <r>
      <rPr>
        <sz val="11"/>
        <rFont val="Arial"/>
        <family val="2"/>
      </rPr>
      <t>x+1</t>
    </r>
    <r>
      <rPr>
        <sz val="11"/>
        <rFont val="微软雅黑"/>
        <family val="2"/>
        <charset val="134"/>
      </rPr>
      <t>天配入）</t>
    </r>
    <r>
      <rPr>
        <sz val="11"/>
        <rFont val="Arial"/>
        <family val="2"/>
      </rPr>
      <t xml:space="preserve">  </t>
    </r>
    <r>
      <rPr>
        <sz val="11"/>
        <rFont val="微软雅黑"/>
        <family val="2"/>
        <charset val="134"/>
      </rPr>
      <t>统计时间：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从上月</t>
    </r>
    <r>
      <rPr>
        <sz val="11"/>
        <rFont val="Arial"/>
        <family val="2"/>
      </rPr>
      <t>16</t>
    </r>
    <r>
      <rPr>
        <sz val="11"/>
        <rFont val="微软雅黑"/>
        <family val="2"/>
        <charset val="134"/>
      </rPr>
      <t>日早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</t>
    </r>
    <r>
      <rPr>
        <sz val="11"/>
        <rFont val="Arial"/>
        <family val="2"/>
      </rPr>
      <t xml:space="preserve"> -</t>
    </r>
    <r>
      <rPr>
        <sz val="11"/>
        <rFont val="微软雅黑"/>
        <family val="2"/>
        <charset val="134"/>
      </rPr>
      <t>到本月</t>
    </r>
    <r>
      <rPr>
        <sz val="11"/>
        <rFont val="Arial"/>
        <family val="2"/>
      </rPr>
      <t>15</t>
    </r>
    <r>
      <rPr>
        <sz val="11"/>
        <rFont val="微软雅黑"/>
        <family val="2"/>
        <charset val="134"/>
      </rPr>
      <t>日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点开场的货品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每月</t>
    </r>
    <r>
      <rPr>
        <sz val="11"/>
        <rFont val="Arial"/>
        <family val="2"/>
      </rPr>
      <t>30</t>
    </r>
    <r>
      <rPr>
        <sz val="11"/>
        <rFont val="微软雅黑"/>
        <family val="2"/>
        <charset val="134"/>
      </rPr>
      <t>日取数；</t>
    </r>
  </si>
  <si>
    <r>
      <t>VIP</t>
    </r>
    <r>
      <rPr>
        <sz val="11"/>
        <rFont val="微软雅黑"/>
        <family val="2"/>
        <charset val="134"/>
      </rPr>
      <t>累计留存率</t>
    </r>
  </si>
  <si>
    <r>
      <rPr>
        <sz val="11"/>
        <rFont val="微软雅黑"/>
        <family val="2"/>
        <charset val="134"/>
      </rPr>
      <t>当月支付人数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累计服务人数（不能剔除客户）</t>
    </r>
  </si>
  <si>
    <r>
      <rPr>
        <sz val="11"/>
        <rFont val="微软雅黑"/>
        <family val="2"/>
        <charset val="134"/>
      </rPr>
      <t>比目标绝对值每上升</t>
    </r>
    <r>
      <rPr>
        <sz val="11"/>
        <rFont val="Arial"/>
        <family val="2"/>
      </rPr>
      <t>0.3%+5</t>
    </r>
    <r>
      <rPr>
        <sz val="11"/>
        <rFont val="微软雅黑"/>
        <family val="2"/>
        <charset val="134"/>
      </rPr>
      <t>分，下降</t>
    </r>
    <r>
      <rPr>
        <sz val="11"/>
        <rFont val="Arial"/>
        <family val="2"/>
      </rPr>
      <t>0.3%-5</t>
    </r>
    <r>
      <rPr>
        <sz val="11"/>
        <rFont val="微软雅黑"/>
        <family val="2"/>
        <charset val="134"/>
      </rPr>
      <t>分</t>
    </r>
  </si>
  <si>
    <r>
      <t>VIP</t>
    </r>
    <r>
      <rPr>
        <sz val="11"/>
        <rFont val="微软雅黑"/>
        <family val="2"/>
        <charset val="134"/>
      </rPr>
      <t>平均渗透率</t>
    </r>
  </si>
  <si>
    <r>
      <t>VIP</t>
    </r>
    <r>
      <rPr>
        <sz val="11"/>
        <rFont val="微软雅黑"/>
        <family val="2"/>
        <charset val="134"/>
      </rPr>
      <t>当月支付用户的平均客单</t>
    </r>
  </si>
  <si>
    <r>
      <rPr>
        <sz val="11"/>
        <rFont val="微软雅黑"/>
        <family val="2"/>
        <charset val="134"/>
      </rPr>
      <t>比目标每高出</t>
    </r>
    <r>
      <rPr>
        <sz val="11"/>
        <rFont val="Arial"/>
        <family val="2"/>
      </rPr>
      <t>2% +5</t>
    </r>
    <r>
      <rPr>
        <sz val="11"/>
        <rFont val="微软雅黑"/>
        <family val="2"/>
        <charset val="134"/>
      </rPr>
      <t>分，比目标绝对值每低</t>
    </r>
    <r>
      <rPr>
        <sz val="11"/>
        <rFont val="Arial"/>
        <family val="2"/>
      </rPr>
      <t>2%  -5</t>
    </r>
    <r>
      <rPr>
        <sz val="11"/>
        <rFont val="微软雅黑"/>
        <family val="2"/>
        <charset val="134"/>
      </rPr>
      <t>分</t>
    </r>
  </si>
  <si>
    <r>
      <t>VIP</t>
    </r>
    <r>
      <rPr>
        <sz val="11"/>
        <rFont val="微软雅黑"/>
        <family val="2"/>
        <charset val="134"/>
      </rPr>
      <t>服务用户数</t>
    </r>
  </si>
  <si>
    <r>
      <rPr>
        <sz val="11"/>
        <rFont val="微软雅黑"/>
        <family val="2"/>
        <charset val="134"/>
      </rPr>
      <t>当月</t>
    </r>
    <r>
      <rPr>
        <sz val="11"/>
        <rFont val="Arial"/>
        <family val="2"/>
      </rPr>
      <t>VIP</t>
    </r>
    <r>
      <rPr>
        <sz val="11"/>
        <rFont val="微软雅黑"/>
        <family val="2"/>
        <charset val="134"/>
      </rPr>
      <t>累计服务的总用户数</t>
    </r>
  </si>
  <si>
    <r>
      <t>VIP</t>
    </r>
    <r>
      <rPr>
        <sz val="11"/>
        <rFont val="微软雅黑"/>
        <family val="2"/>
        <charset val="134"/>
      </rPr>
      <t>跌迁率</t>
    </r>
  </si>
  <si>
    <r>
      <rPr>
        <sz val="11"/>
        <rFont val="微软雅黑"/>
        <family val="2"/>
        <charset val="134"/>
      </rPr>
      <t>跌迁：当月拿货额比上月下降</t>
    </r>
    <r>
      <rPr>
        <sz val="11"/>
        <rFont val="Arial"/>
        <family val="2"/>
      </rPr>
      <t>30%</t>
    </r>
    <r>
      <rPr>
        <sz val="11"/>
        <rFont val="微软雅黑"/>
        <family val="2"/>
        <charset val="134"/>
      </rPr>
      <t>以上
跌迁率</t>
    </r>
    <r>
      <rPr>
        <sz val="11"/>
        <rFont val="Arial"/>
        <family val="2"/>
      </rPr>
      <t>=</t>
    </r>
    <r>
      <rPr>
        <sz val="11"/>
        <rFont val="微软雅黑"/>
        <family val="2"/>
        <charset val="134"/>
      </rPr>
      <t>累计</t>
    </r>
    <r>
      <rPr>
        <sz val="11"/>
        <rFont val="Arial"/>
        <family val="2"/>
      </rPr>
      <t>VIP</t>
    </r>
    <r>
      <rPr>
        <sz val="11"/>
        <rFont val="微软雅黑"/>
        <family val="2"/>
        <charset val="134"/>
      </rPr>
      <t>服务人数中当月属于跌迁的人数</t>
    </r>
    <r>
      <rPr>
        <sz val="11"/>
        <rFont val="Arial"/>
        <family val="2"/>
      </rPr>
      <t>/VIP</t>
    </r>
    <r>
      <rPr>
        <sz val="11"/>
        <rFont val="微软雅黑"/>
        <family val="2"/>
        <charset val="134"/>
      </rPr>
      <t>服务总用户数</t>
    </r>
  </si>
  <si>
    <r>
      <rPr>
        <sz val="11"/>
        <rFont val="微软雅黑"/>
        <family val="2"/>
        <charset val="134"/>
      </rPr>
      <t>比目标绝对值每降低</t>
    </r>
    <r>
      <rPr>
        <sz val="11"/>
        <rFont val="Arial"/>
        <family val="2"/>
      </rPr>
      <t>0.3% +5</t>
    </r>
    <r>
      <rPr>
        <sz val="11"/>
        <rFont val="微软雅黑"/>
        <family val="2"/>
        <charset val="134"/>
      </rPr>
      <t>分，比目标绝对值每增加</t>
    </r>
    <r>
      <rPr>
        <sz val="11"/>
        <rFont val="Arial"/>
        <family val="2"/>
      </rPr>
      <t>0.3%  -5</t>
    </r>
    <r>
      <rPr>
        <sz val="11"/>
        <rFont val="微软雅黑"/>
        <family val="2"/>
        <charset val="134"/>
      </rPr>
      <t>分</t>
    </r>
  </si>
  <si>
    <r>
      <t>vip</t>
    </r>
    <r>
      <rPr>
        <sz val="11"/>
        <rFont val="微软雅黑"/>
        <family val="2"/>
        <charset val="134"/>
      </rPr>
      <t>费用率</t>
    </r>
  </si>
  <si>
    <r>
      <t>VIP</t>
    </r>
    <r>
      <rPr>
        <sz val="11"/>
        <rFont val="微软雅黑"/>
        <family val="2"/>
        <charset val="134"/>
      </rPr>
      <t>部门总费用</t>
    </r>
    <r>
      <rPr>
        <sz val="11"/>
        <rFont val="Arial"/>
        <family val="2"/>
      </rPr>
      <t>/VIP</t>
    </r>
    <r>
      <rPr>
        <sz val="11"/>
        <rFont val="微软雅黑"/>
        <family val="2"/>
        <charset val="134"/>
      </rPr>
      <t>用户折后实发销售额</t>
    </r>
  </si>
  <si>
    <r>
      <rPr>
        <sz val="11"/>
        <rFont val="微软雅黑"/>
        <family val="2"/>
        <charset val="134"/>
      </rPr>
      <t>仓储部</t>
    </r>
  </si>
  <si>
    <r>
      <rPr>
        <sz val="11"/>
        <rFont val="微软雅黑"/>
        <family val="2"/>
        <charset val="134"/>
      </rPr>
      <t>仓储费用率</t>
    </r>
  </si>
  <si>
    <r>
      <rPr>
        <sz val="11"/>
        <rFont val="微软雅黑"/>
        <family val="2"/>
        <charset val="134"/>
      </rPr>
      <t>当月仓储费用</t>
    </r>
    <r>
      <rPr>
        <sz val="11"/>
        <rFont val="Arial"/>
        <family val="2"/>
      </rPr>
      <t>(</t>
    </r>
    <r>
      <rPr>
        <sz val="11"/>
        <rFont val="微软雅黑"/>
        <family val="2"/>
        <charset val="134"/>
      </rPr>
      <t>含折旧</t>
    </r>
    <r>
      <rPr>
        <sz val="11"/>
        <rFont val="Arial"/>
        <family val="2"/>
      </rPr>
      <t>)/</t>
    </r>
    <r>
      <rPr>
        <sz val="11"/>
        <rFont val="微软雅黑"/>
        <family val="2"/>
        <charset val="134"/>
      </rPr>
      <t>当月折后实发销售额</t>
    </r>
  </si>
  <si>
    <r>
      <rPr>
        <sz val="11"/>
        <rFont val="微软雅黑"/>
        <family val="2"/>
        <charset val="134"/>
      </rPr>
      <t>服务满意率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错漏发</t>
    </r>
  </si>
  <si>
    <r>
      <rPr>
        <sz val="11"/>
        <rFont val="微软雅黑"/>
        <family val="2"/>
        <charset val="134"/>
      </rPr>
      <t>整月售后工单错漏发商品件数（</t>
    </r>
    <r>
      <rPr>
        <sz val="11"/>
        <rFont val="Arial"/>
        <family val="2"/>
      </rPr>
      <t>1-30</t>
    </r>
    <r>
      <rPr>
        <sz val="11"/>
        <rFont val="微软雅黑"/>
        <family val="2"/>
        <charset val="134"/>
      </rPr>
      <t>日）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整月实发商品件数（上个月</t>
    </r>
    <r>
      <rPr>
        <sz val="11"/>
        <rFont val="Arial"/>
        <family val="2"/>
      </rPr>
      <t>26</t>
    </r>
    <r>
      <rPr>
        <sz val="11"/>
        <rFont val="微软雅黑"/>
        <family val="2"/>
        <charset val="134"/>
      </rPr>
      <t>日至本月</t>
    </r>
    <r>
      <rPr>
        <sz val="11"/>
        <rFont val="Arial"/>
        <family val="2"/>
      </rPr>
      <t>25</t>
    </r>
    <r>
      <rPr>
        <sz val="11"/>
        <rFont val="微软雅黑"/>
        <family val="2"/>
        <charset val="134"/>
      </rPr>
      <t>日）</t>
    </r>
  </si>
  <si>
    <r>
      <rPr>
        <sz val="11"/>
        <rFont val="微软雅黑"/>
        <family val="2"/>
        <charset val="134"/>
      </rPr>
      <t>服务满意率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服务对接质量</t>
    </r>
  </si>
  <si>
    <r>
      <rPr>
        <sz val="11"/>
        <rFont val="微软雅黑"/>
        <family val="2"/>
        <charset val="134"/>
      </rPr>
      <t>比目标绝对值每降低</t>
    </r>
    <r>
      <rPr>
        <sz val="11"/>
        <rFont val="Arial"/>
        <family val="2"/>
      </rPr>
      <t>0.03% +5</t>
    </r>
    <r>
      <rPr>
        <sz val="11"/>
        <rFont val="微软雅黑"/>
        <family val="2"/>
        <charset val="134"/>
      </rPr>
      <t>分，比目标每增加</t>
    </r>
    <r>
      <rPr>
        <sz val="11"/>
        <rFont val="Arial"/>
        <family val="2"/>
      </rPr>
      <t>0.03%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</si>
  <si>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发货时效</t>
    </r>
  </si>
  <si>
    <r>
      <rPr>
        <sz val="11"/>
        <rFont val="微软雅黑"/>
        <family val="2"/>
        <charset val="134"/>
      </rPr>
      <t>实际发货商品数量（广州</t>
    </r>
    <r>
      <rPr>
        <sz val="11"/>
        <rFont val="Arial"/>
        <family val="2"/>
      </rPr>
      <t>24</t>
    </r>
    <r>
      <rPr>
        <sz val="11"/>
        <rFont val="微软雅黑"/>
        <family val="2"/>
        <charset val="134"/>
      </rPr>
      <t>小时发货量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杭州</t>
    </r>
    <r>
      <rPr>
        <sz val="11"/>
        <rFont val="Arial"/>
        <family val="2"/>
      </rPr>
      <t>48</t>
    </r>
    <r>
      <rPr>
        <sz val="11"/>
        <rFont val="微软雅黑"/>
        <family val="2"/>
        <charset val="134"/>
      </rPr>
      <t>小时发货量）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当日供应商回货商品应发件数</t>
    </r>
    <r>
      <rPr>
        <sz val="11"/>
        <rFont val="Arial"/>
        <family val="2"/>
      </rPr>
      <t>(</t>
    </r>
    <r>
      <rPr>
        <sz val="11"/>
        <rFont val="微软雅黑"/>
        <family val="2"/>
        <charset val="134"/>
      </rPr>
      <t>含前置仓销售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现货销售）（分母：当日系统应发件数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系统到货未入库数量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入库未上架数量）考虑旺季季节影响人力储备需要的时间，旺季下调</t>
    </r>
    <r>
      <rPr>
        <sz val="11"/>
        <rFont val="Arial"/>
        <family val="2"/>
      </rPr>
      <t>0.2%</t>
    </r>
    <r>
      <rPr>
        <sz val="11"/>
        <rFont val="微软雅黑"/>
        <family val="2"/>
        <charset val="134"/>
      </rPr>
      <t>）</t>
    </r>
  </si>
  <si>
    <r>
      <rPr>
        <sz val="11"/>
        <rFont val="微软雅黑"/>
        <family val="2"/>
        <charset val="134"/>
      </rPr>
      <t>比目标绝对值每增加</t>
    </r>
    <r>
      <rPr>
        <sz val="11"/>
        <rFont val="Arial"/>
        <family val="2"/>
      </rPr>
      <t>0.02% +5</t>
    </r>
    <r>
      <rPr>
        <sz val="11"/>
        <rFont val="微软雅黑"/>
        <family val="2"/>
        <charset val="134"/>
      </rPr>
      <t>分，比目标每降低</t>
    </r>
    <r>
      <rPr>
        <sz val="11"/>
        <rFont val="Arial"/>
        <family val="2"/>
      </rPr>
      <t>0.04%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</si>
  <si>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采购部</t>
    </r>
  </si>
  <si>
    <r>
      <rPr>
        <sz val="11"/>
        <rFont val="微软雅黑"/>
        <family val="2"/>
        <charset val="134"/>
      </rPr>
      <t>用户下单的商品能在承诺时间内被配入且偏差在超时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天或提前</t>
    </r>
    <r>
      <rPr>
        <sz val="11"/>
        <rFont val="Arial"/>
        <family val="2"/>
      </rPr>
      <t>2</t>
    </r>
    <r>
      <rPr>
        <sz val="11"/>
        <rFont val="微软雅黑"/>
        <family val="2"/>
        <charset val="134"/>
      </rPr>
      <t>天内（履约标准线</t>
    </r>
    <r>
      <rPr>
        <sz val="11"/>
        <rFont val="Arial"/>
        <family val="2"/>
      </rPr>
      <t>——</t>
    </r>
    <r>
      <rPr>
        <sz val="11"/>
        <rFont val="微软雅黑"/>
        <family val="2"/>
        <charset val="134"/>
      </rPr>
      <t>档口现货</t>
    </r>
    <r>
      <rPr>
        <sz val="11"/>
        <rFont val="Arial"/>
        <family val="2"/>
      </rPr>
      <t>48h</t>
    </r>
    <r>
      <rPr>
        <sz val="11"/>
        <rFont val="微软雅黑"/>
        <family val="2"/>
        <charset val="134"/>
      </rPr>
      <t>可配，若排单需要</t>
    </r>
    <r>
      <rPr>
        <sz val="11"/>
        <rFont val="Arial"/>
        <family val="2"/>
      </rPr>
      <t>x</t>
    </r>
    <r>
      <rPr>
        <sz val="11"/>
        <rFont val="微软雅黑"/>
        <family val="2"/>
        <charset val="134"/>
      </rPr>
      <t>天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则在</t>
    </r>
    <r>
      <rPr>
        <sz val="11"/>
        <rFont val="Arial"/>
        <family val="2"/>
      </rPr>
      <t xml:space="preserve"> x-2</t>
    </r>
    <r>
      <rPr>
        <sz val="11"/>
        <rFont val="微软雅黑"/>
        <family val="2"/>
        <charset val="134"/>
      </rPr>
      <t>或</t>
    </r>
    <r>
      <rPr>
        <sz val="11"/>
        <rFont val="Arial"/>
        <family val="2"/>
      </rPr>
      <t>x+1</t>
    </r>
    <r>
      <rPr>
        <sz val="11"/>
        <rFont val="微软雅黑"/>
        <family val="2"/>
        <charset val="134"/>
      </rPr>
      <t>天配入）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统计时间：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从上月</t>
    </r>
    <r>
      <rPr>
        <sz val="11"/>
        <rFont val="Arial"/>
        <family val="2"/>
      </rPr>
      <t>16</t>
    </r>
    <r>
      <rPr>
        <sz val="11"/>
        <rFont val="微软雅黑"/>
        <family val="2"/>
        <charset val="134"/>
      </rPr>
      <t>日早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</t>
    </r>
    <r>
      <rPr>
        <sz val="11"/>
        <rFont val="Arial"/>
        <family val="2"/>
      </rPr>
      <t xml:space="preserve"> -</t>
    </r>
    <r>
      <rPr>
        <sz val="11"/>
        <rFont val="微软雅黑"/>
        <family val="2"/>
        <charset val="134"/>
      </rPr>
      <t>到本月</t>
    </r>
    <r>
      <rPr>
        <sz val="11"/>
        <rFont val="Arial"/>
        <family val="2"/>
      </rPr>
      <t>15</t>
    </r>
    <r>
      <rPr>
        <sz val="11"/>
        <rFont val="微软雅黑"/>
        <family val="2"/>
        <charset val="134"/>
      </rPr>
      <t>日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点开场的货品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每月</t>
    </r>
    <r>
      <rPr>
        <sz val="11"/>
        <rFont val="Arial"/>
        <family val="2"/>
      </rPr>
      <t>30</t>
    </r>
    <r>
      <rPr>
        <sz val="11"/>
        <rFont val="微软雅黑"/>
        <family val="2"/>
        <charset val="134"/>
      </rPr>
      <t>日取数；</t>
    </r>
  </si>
  <si>
    <r>
      <rPr>
        <sz val="11"/>
        <rFont val="微软雅黑"/>
        <family val="2"/>
        <charset val="134"/>
      </rPr>
      <t>费用率（坏账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人工）</t>
    </r>
  </si>
  <si>
    <r>
      <rPr>
        <sz val="11"/>
        <rFont val="微软雅黑"/>
        <family val="2"/>
        <charset val="134"/>
      </rPr>
      <t>部门总费用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折后实发销售额</t>
    </r>
  </si>
  <si>
    <r>
      <rPr>
        <sz val="11"/>
        <rFont val="微软雅黑"/>
        <family val="2"/>
        <charset val="134"/>
      </rPr>
      <t>最终配货率</t>
    </r>
  </si>
  <si>
    <r>
      <rPr>
        <sz val="11"/>
        <rFont val="微软雅黑"/>
        <family val="2"/>
        <charset val="134"/>
      </rPr>
      <t>定义：专场结束后，</t>
    </r>
    <r>
      <rPr>
        <sz val="11"/>
        <rFont val="Arial"/>
        <family val="2"/>
      </rPr>
      <t>X</t>
    </r>
    <r>
      <rPr>
        <sz val="11"/>
        <rFont val="微软雅黑"/>
        <family val="2"/>
        <charset val="134"/>
      </rPr>
      <t>小时配入订单的件数占该专场应开单总件数的比值
口径：专场结束后</t>
    </r>
    <r>
      <rPr>
        <sz val="11"/>
        <rFont val="Arial"/>
        <family val="2"/>
      </rPr>
      <t>X</t>
    </r>
    <r>
      <rPr>
        <sz val="11"/>
        <rFont val="微软雅黑"/>
        <family val="2"/>
        <charset val="134"/>
      </rPr>
      <t>小时内配入订单件数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应开单总件数
（最终配货率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统计时间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从上月</t>
    </r>
    <r>
      <rPr>
        <sz val="11"/>
        <rFont val="Arial"/>
        <family val="2"/>
      </rPr>
      <t>21</t>
    </r>
    <r>
      <rPr>
        <sz val="11"/>
        <rFont val="微软雅黑"/>
        <family val="2"/>
        <charset val="134"/>
      </rPr>
      <t>日早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</t>
    </r>
    <r>
      <rPr>
        <sz val="11"/>
        <rFont val="Arial"/>
        <family val="2"/>
      </rPr>
      <t xml:space="preserve"> -</t>
    </r>
    <r>
      <rPr>
        <sz val="11"/>
        <rFont val="微软雅黑"/>
        <family val="2"/>
        <charset val="134"/>
      </rPr>
      <t>到本月</t>
    </r>
    <r>
      <rPr>
        <sz val="11"/>
        <rFont val="Arial"/>
        <family val="2"/>
      </rPr>
      <t>20</t>
    </r>
    <r>
      <rPr>
        <sz val="11"/>
        <rFont val="微软雅黑"/>
        <family val="2"/>
        <charset val="134"/>
      </rPr>
      <t>日早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点开场的货品；</t>
    </r>
    <r>
      <rPr>
        <sz val="11"/>
        <rFont val="Arial"/>
        <family val="2"/>
      </rPr>
      <t>48</t>
    </r>
    <r>
      <rPr>
        <sz val="11"/>
        <rFont val="微软雅黑"/>
        <family val="2"/>
        <charset val="134"/>
      </rPr>
      <t>配统计时间从上月</t>
    </r>
    <r>
      <rPr>
        <sz val="11"/>
        <rFont val="Arial"/>
        <family val="2"/>
      </rPr>
      <t>28</t>
    </r>
    <r>
      <rPr>
        <sz val="11"/>
        <rFont val="微软雅黑"/>
        <family val="2"/>
        <charset val="134"/>
      </rPr>
      <t>日早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本月</t>
    </r>
    <r>
      <rPr>
        <sz val="11"/>
        <rFont val="Arial"/>
        <family val="2"/>
      </rPr>
      <t>27</t>
    </r>
    <r>
      <rPr>
        <sz val="11"/>
        <rFont val="微软雅黑"/>
        <family val="2"/>
        <charset val="134"/>
      </rPr>
      <t>日早</t>
    </r>
    <r>
      <rPr>
        <sz val="11"/>
        <rFont val="Arial"/>
        <family val="2"/>
      </rPr>
      <t>7</t>
    </r>
    <r>
      <rPr>
        <sz val="11"/>
        <rFont val="微软雅黑"/>
        <family val="2"/>
        <charset val="134"/>
      </rPr>
      <t>点开场</t>
    </r>
    <r>
      <rPr>
        <sz val="11"/>
        <rFont val="Arial"/>
        <family val="2"/>
      </rPr>
      <t xml:space="preserve">  </t>
    </r>
    <r>
      <rPr>
        <sz val="11"/>
        <rFont val="微软雅黑"/>
        <family val="2"/>
        <charset val="134"/>
      </rPr>
      <t>每月</t>
    </r>
    <r>
      <rPr>
        <sz val="11"/>
        <rFont val="Arial"/>
        <family val="2"/>
      </rPr>
      <t xml:space="preserve"> 30</t>
    </r>
    <r>
      <rPr>
        <sz val="11"/>
        <rFont val="微软雅黑"/>
        <family val="2"/>
        <charset val="134"/>
      </rPr>
      <t>日取数）</t>
    </r>
  </si>
  <si>
    <r>
      <rPr>
        <sz val="11"/>
        <rFont val="微软雅黑"/>
        <family val="2"/>
        <charset val="134"/>
      </rPr>
      <t>比目标绝对值每增加</t>
    </r>
    <r>
      <rPr>
        <sz val="11"/>
        <rFont val="Arial"/>
        <family val="2"/>
      </rPr>
      <t>0.3% +5</t>
    </r>
    <r>
      <rPr>
        <sz val="11"/>
        <rFont val="微软雅黑"/>
        <family val="2"/>
        <charset val="134"/>
      </rPr>
      <t>分，比目标每降低</t>
    </r>
    <r>
      <rPr>
        <sz val="11"/>
        <rFont val="Arial"/>
        <family val="2"/>
      </rPr>
      <t>0.3%  -5</t>
    </r>
    <r>
      <rPr>
        <sz val="11"/>
        <rFont val="微软雅黑"/>
        <family val="2"/>
        <charset val="134"/>
      </rPr>
      <t>分</t>
    </r>
  </si>
  <si>
    <r>
      <t>48h</t>
    </r>
    <r>
      <rPr>
        <sz val="11"/>
        <rFont val="微软雅黑"/>
        <family val="2"/>
        <charset val="134"/>
      </rPr>
      <t>配货率</t>
    </r>
  </si>
  <si>
    <r>
      <rPr>
        <sz val="11"/>
        <rFont val="微软雅黑"/>
        <family val="2"/>
        <charset val="134"/>
      </rPr>
      <t>比目标绝对值每增加</t>
    </r>
    <r>
      <rPr>
        <sz val="11"/>
        <rFont val="Arial"/>
        <family val="2"/>
      </rPr>
      <t>0.4% +5</t>
    </r>
    <r>
      <rPr>
        <sz val="11"/>
        <rFont val="微软雅黑"/>
        <family val="2"/>
        <charset val="134"/>
      </rPr>
      <t>分，比目标每降低</t>
    </r>
    <r>
      <rPr>
        <sz val="11"/>
        <rFont val="Arial"/>
        <family val="2"/>
      </rPr>
      <t>0.4%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</si>
  <si>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技术部</t>
    </r>
  </si>
  <si>
    <r>
      <rPr>
        <sz val="11"/>
        <rFont val="微软雅黑"/>
        <family val="2"/>
        <charset val="134"/>
      </rPr>
      <t>服务可用率</t>
    </r>
  </si>
  <si>
    <r>
      <rPr>
        <sz val="11"/>
        <rFont val="微软雅黑"/>
        <family val="2"/>
        <charset val="134"/>
      </rPr>
      <t>指应用服务在线正常访问的时长占当月的时长占比</t>
    </r>
  </si>
  <si>
    <r>
      <rPr>
        <sz val="11"/>
        <rFont val="微软雅黑"/>
        <family val="2"/>
        <charset val="134"/>
      </rPr>
      <t>按时交付率</t>
    </r>
  </si>
  <si>
    <r>
      <rPr>
        <sz val="11"/>
        <rFont val="微软雅黑"/>
        <family val="2"/>
        <charset val="134"/>
      </rPr>
      <t>技术部承诺出去的节点，按时完成交付率，统计颗粒度到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工日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即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个人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天的工作量</t>
    </r>
  </si>
  <si>
    <r>
      <rPr>
        <sz val="11"/>
        <rFont val="微软雅黑"/>
        <family val="2"/>
        <charset val="134"/>
      </rPr>
      <t>提前</t>
    </r>
    <r>
      <rPr>
        <sz val="11"/>
        <rFont val="Arial"/>
        <family val="2"/>
      </rPr>
      <t>20%</t>
    </r>
    <r>
      <rPr>
        <sz val="11"/>
        <rFont val="微软雅黑"/>
        <family val="2"/>
        <charset val="134"/>
      </rPr>
      <t>工日交付</t>
    </r>
  </si>
  <si>
    <r>
      <rPr>
        <sz val="11"/>
        <rFont val="微软雅黑"/>
        <family val="2"/>
        <charset val="134"/>
      </rPr>
      <t>延迟</t>
    </r>
    <r>
      <rPr>
        <sz val="11"/>
        <rFont val="Arial"/>
        <family val="2"/>
      </rPr>
      <t>16%</t>
    </r>
    <r>
      <rPr>
        <sz val="11"/>
        <rFont val="微软雅黑"/>
        <family val="2"/>
        <charset val="134"/>
      </rPr>
      <t>工日交付</t>
    </r>
  </si>
  <si>
    <r>
      <rPr>
        <sz val="11"/>
        <rFont val="微软雅黑"/>
        <family val="2"/>
        <charset val="134"/>
      </rPr>
      <t>一手</t>
    </r>
    <r>
      <rPr>
        <sz val="11"/>
        <rFont val="Arial"/>
        <family val="2"/>
      </rPr>
      <t>bug</t>
    </r>
    <r>
      <rPr>
        <sz val="11"/>
        <rFont val="微软雅黑"/>
        <family val="2"/>
        <charset val="134"/>
      </rPr>
      <t>率</t>
    </r>
  </si>
  <si>
    <r>
      <rPr>
        <sz val="11"/>
        <rFont val="微软雅黑"/>
        <family val="2"/>
        <charset val="134"/>
      </rPr>
      <t>主要指产品发布到生产环境时的</t>
    </r>
    <r>
      <rPr>
        <sz val="11"/>
        <rFont val="Arial"/>
        <family val="2"/>
      </rPr>
      <t>BUG</t>
    </r>
    <r>
      <rPr>
        <sz val="11"/>
        <rFont val="微软雅黑"/>
        <family val="2"/>
        <charset val="134"/>
      </rPr>
      <t>影响【一手</t>
    </r>
    <r>
      <rPr>
        <sz val="11"/>
        <rFont val="Arial"/>
        <family val="2"/>
      </rPr>
      <t>APP</t>
    </r>
    <r>
      <rPr>
        <sz val="11"/>
        <rFont val="微软雅黑"/>
        <family val="2"/>
        <charset val="134"/>
      </rPr>
      <t>】；</t>
    </r>
  </si>
  <si>
    <r>
      <rPr>
        <sz val="11"/>
        <rFont val="微软雅黑"/>
        <family val="2"/>
        <charset val="134"/>
      </rPr>
      <t>爆版</t>
    </r>
    <r>
      <rPr>
        <sz val="11"/>
        <rFont val="Arial"/>
        <family val="2"/>
      </rPr>
      <t>bug</t>
    </r>
    <r>
      <rPr>
        <sz val="11"/>
        <rFont val="微软雅黑"/>
        <family val="2"/>
        <charset val="134"/>
      </rPr>
      <t>率</t>
    </r>
  </si>
  <si>
    <r>
      <rPr>
        <sz val="11"/>
        <rFont val="微软雅黑"/>
        <family val="2"/>
        <charset val="134"/>
      </rPr>
      <t>主要指产品发布到生产环境时的</t>
    </r>
    <r>
      <rPr>
        <sz val="11"/>
        <rFont val="Arial"/>
        <family val="2"/>
      </rPr>
      <t>BUG</t>
    </r>
    <r>
      <rPr>
        <sz val="11"/>
        <rFont val="微软雅黑"/>
        <family val="2"/>
        <charset val="134"/>
      </rPr>
      <t>影响【爆版】；</t>
    </r>
  </si>
  <si>
    <r>
      <rPr>
        <sz val="11"/>
        <rFont val="微软雅黑"/>
        <family val="2"/>
        <charset val="134"/>
      </rPr>
      <t>客服部</t>
    </r>
  </si>
  <si>
    <r>
      <rPr>
        <sz val="11"/>
        <rFont val="微软雅黑"/>
        <family val="2"/>
        <charset val="134"/>
      </rPr>
      <t>入线比</t>
    </r>
  </si>
  <si>
    <r>
      <rPr>
        <sz val="11"/>
        <rFont val="微软雅黑"/>
        <family val="2"/>
        <charset val="134"/>
      </rPr>
      <t>（留言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客服会话）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有效订单的商品数量</t>
    </r>
  </si>
  <si>
    <r>
      <rPr>
        <sz val="11"/>
        <rFont val="微软雅黑"/>
        <family val="2"/>
        <charset val="134"/>
      </rPr>
      <t>比目标绝对值每增加</t>
    </r>
    <r>
      <rPr>
        <sz val="11"/>
        <rFont val="Arial"/>
        <family val="2"/>
      </rPr>
      <t>0.2% +5</t>
    </r>
    <r>
      <rPr>
        <sz val="11"/>
        <rFont val="微软雅黑"/>
        <family val="2"/>
        <charset val="134"/>
      </rPr>
      <t>分，比目标每降低</t>
    </r>
    <r>
      <rPr>
        <sz val="11"/>
        <rFont val="Arial"/>
        <family val="2"/>
      </rPr>
      <t>0.2%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</si>
  <si>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接通率</t>
    </r>
  </si>
  <si>
    <r>
      <rPr>
        <sz val="11"/>
        <rFont val="微软雅黑"/>
        <family val="2"/>
        <charset val="134"/>
      </rPr>
      <t>访客来访的会话中，接入成功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总体会话的比值</t>
    </r>
  </si>
  <si>
    <r>
      <rPr>
        <sz val="11"/>
        <rFont val="微软雅黑"/>
        <family val="2"/>
        <charset val="134"/>
      </rPr>
      <t>比目标绝对值每增加</t>
    </r>
    <r>
      <rPr>
        <sz val="11"/>
        <rFont val="Arial"/>
        <family val="2"/>
      </rPr>
      <t>0.1% +5</t>
    </r>
    <r>
      <rPr>
        <sz val="11"/>
        <rFont val="微软雅黑"/>
        <family val="2"/>
        <charset val="134"/>
      </rPr>
      <t>分，比目标每降低</t>
    </r>
    <r>
      <rPr>
        <sz val="11"/>
        <rFont val="Arial"/>
        <family val="2"/>
      </rPr>
      <t>0.1%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</si>
  <si>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满意度</t>
    </r>
  </si>
  <si>
    <r>
      <rPr>
        <sz val="11"/>
        <rFont val="微软雅黑"/>
        <family val="2"/>
        <charset val="134"/>
      </rPr>
      <t>评价结果为满意的会话量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有评价结果的会话量（评价比不低于</t>
    </r>
    <r>
      <rPr>
        <sz val="11"/>
        <rFont val="Arial"/>
        <family val="2"/>
      </rPr>
      <t>15%</t>
    </r>
    <r>
      <rPr>
        <sz val="11"/>
        <rFont val="微软雅黑"/>
        <family val="2"/>
        <charset val="134"/>
      </rPr>
      <t>）</t>
    </r>
  </si>
  <si>
    <r>
      <rPr>
        <sz val="11"/>
        <rFont val="微软雅黑"/>
        <family val="2"/>
        <charset val="134"/>
      </rPr>
      <t>比目标绝对值每增加</t>
    </r>
    <r>
      <rPr>
        <sz val="11"/>
        <rFont val="Arial"/>
        <family val="2"/>
      </rPr>
      <t>0.15% +5</t>
    </r>
    <r>
      <rPr>
        <sz val="11"/>
        <rFont val="微软雅黑"/>
        <family val="2"/>
        <charset val="134"/>
      </rPr>
      <t>分，比目标每降低</t>
    </r>
    <r>
      <rPr>
        <sz val="11"/>
        <rFont val="Arial"/>
        <family val="2"/>
      </rPr>
      <t>0.15%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</si>
  <si>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人力资源部</t>
    </r>
  </si>
  <si>
    <r>
      <rPr>
        <sz val="11"/>
        <rFont val="微软雅黑"/>
        <family val="2"/>
        <charset val="134"/>
      </rPr>
      <t>核心岗位配置率</t>
    </r>
  </si>
  <si>
    <r>
      <rPr>
        <sz val="11"/>
        <rFont val="微软雅黑"/>
        <family val="2"/>
        <charset val="134"/>
      </rPr>
      <t>核心岗位在职人数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核心岗位需求总数</t>
    </r>
  </si>
  <si>
    <r>
      <rPr>
        <sz val="11"/>
        <rFont val="微软雅黑"/>
        <family val="2"/>
        <charset val="134"/>
      </rPr>
      <t>人力成本费用率</t>
    </r>
  </si>
  <si>
    <r>
      <rPr>
        <sz val="11"/>
        <rFont val="微软雅黑"/>
        <family val="2"/>
        <charset val="134"/>
      </rPr>
      <t>（公司人力成本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部门人力相关费用）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折后实发销售额</t>
    </r>
  </si>
  <si>
    <r>
      <rPr>
        <sz val="11"/>
        <rFont val="微软雅黑"/>
        <family val="2"/>
        <charset val="134"/>
      </rPr>
      <t>组织项目落地时效</t>
    </r>
  </si>
  <si>
    <r>
      <rPr>
        <sz val="11"/>
        <rFont val="微软雅黑"/>
        <family val="2"/>
        <charset val="134"/>
      </rPr>
      <t>等</t>
    </r>
    <r>
      <rPr>
        <sz val="11"/>
        <rFont val="Arial"/>
        <family val="2"/>
      </rPr>
      <t>HRD</t>
    </r>
    <r>
      <rPr>
        <sz val="11"/>
        <rFont val="微软雅黑"/>
        <family val="2"/>
        <charset val="134"/>
      </rPr>
      <t>到位后，从人力成本费用率分</t>
    </r>
    <r>
      <rPr>
        <sz val="11"/>
        <rFont val="Arial"/>
        <family val="2"/>
      </rPr>
      <t>20%</t>
    </r>
    <r>
      <rPr>
        <sz val="11"/>
        <rFont val="微软雅黑"/>
        <family val="2"/>
        <charset val="134"/>
      </rPr>
      <t>过来。</t>
    </r>
  </si>
  <si>
    <r>
      <rPr>
        <sz val="11"/>
        <rFont val="微软雅黑"/>
        <family val="2"/>
        <charset val="134"/>
      </rPr>
      <t>行政部</t>
    </r>
  </si>
  <si>
    <r>
      <rPr>
        <sz val="11"/>
        <rFont val="微软雅黑"/>
        <family val="2"/>
        <charset val="134"/>
      </rPr>
      <t>行政费用率</t>
    </r>
  </si>
  <si>
    <r>
      <rPr>
        <sz val="11"/>
        <rFont val="微软雅黑"/>
        <family val="2"/>
        <charset val="134"/>
      </rPr>
      <t>（待罗列行政管控费用类型明细）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折后实发销售额</t>
    </r>
  </si>
  <si>
    <r>
      <rPr>
        <sz val="11"/>
        <rFont val="微软雅黑"/>
        <family val="2"/>
        <charset val="134"/>
      </rPr>
      <t>员工满意度</t>
    </r>
  </si>
  <si>
    <r>
      <rPr>
        <sz val="11"/>
        <rFont val="微软雅黑"/>
        <family val="2"/>
        <charset val="134"/>
      </rPr>
      <t>每个月公司员工满意度调查一次的评分</t>
    </r>
  </si>
  <si>
    <r>
      <rPr>
        <sz val="11"/>
        <rFont val="微软雅黑"/>
        <family val="2"/>
        <charset val="134"/>
      </rPr>
      <t>平均分每高出</t>
    </r>
    <r>
      <rPr>
        <sz val="11"/>
        <rFont val="Arial"/>
        <family val="2"/>
      </rPr>
      <t>0.5</t>
    </r>
    <r>
      <rPr>
        <sz val="11"/>
        <rFont val="微软雅黑"/>
        <family val="2"/>
        <charset val="134"/>
      </rPr>
      <t>分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绩效加分</t>
    </r>
    <r>
      <rPr>
        <sz val="11"/>
        <rFont val="Arial"/>
        <family val="2"/>
      </rPr>
      <t>5</t>
    </r>
    <r>
      <rPr>
        <sz val="11"/>
        <rFont val="微软雅黑"/>
        <family val="2"/>
        <charset val="134"/>
      </rPr>
      <t>分，每降低</t>
    </r>
    <r>
      <rPr>
        <sz val="11"/>
        <rFont val="Arial"/>
        <family val="2"/>
      </rPr>
      <t>0.5</t>
    </r>
    <r>
      <rPr>
        <sz val="11"/>
        <rFont val="微软雅黑"/>
        <family val="2"/>
        <charset val="134"/>
      </rPr>
      <t>分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绩效分降低</t>
    </r>
    <r>
      <rPr>
        <sz val="11"/>
        <rFont val="Arial"/>
        <family val="2"/>
      </rPr>
      <t>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</si>
  <si>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财务部</t>
    </r>
  </si>
  <si>
    <r>
      <rPr>
        <sz val="11"/>
        <rFont val="微软雅黑"/>
        <family val="2"/>
        <charset val="134"/>
      </rPr>
      <t>公司费用总额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折后实发销售额</t>
    </r>
  </si>
  <si>
    <r>
      <rPr>
        <sz val="11"/>
        <rFont val="微软雅黑"/>
        <family val="2"/>
        <charset val="134"/>
      </rPr>
      <t>实际发生费用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预算费用（预算费用变动部分随销售额波动调整）</t>
    </r>
  </si>
  <si>
    <r>
      <rPr>
        <sz val="11"/>
        <rFont val="微软雅黑"/>
        <family val="2"/>
        <charset val="134"/>
      </rPr>
      <t>资金收益率</t>
    </r>
  </si>
  <si>
    <r>
      <rPr>
        <sz val="11"/>
        <rFont val="微软雅黑"/>
        <family val="2"/>
        <charset val="134"/>
      </rPr>
      <t>收益金额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公司当月末可用现金</t>
    </r>
  </si>
  <si>
    <r>
      <rPr>
        <sz val="11"/>
        <rFont val="微软雅黑"/>
        <family val="2"/>
        <charset val="134"/>
      </rPr>
      <t>数据组</t>
    </r>
  </si>
  <si>
    <r>
      <rPr>
        <sz val="11"/>
        <rFont val="微软雅黑"/>
        <family val="2"/>
        <charset val="134"/>
      </rPr>
      <t>业务部门目标达成支撑度</t>
    </r>
  </si>
  <si>
    <r>
      <rPr>
        <sz val="11"/>
        <rFont val="微软雅黑"/>
        <family val="2"/>
        <charset val="134"/>
      </rPr>
      <t>用户中心、商务中心</t>
    </r>
    <r>
      <rPr>
        <sz val="11"/>
        <rFont val="Arial"/>
        <family val="2"/>
      </rPr>
      <t xml:space="preserve"> KPI</t>
    </r>
    <r>
      <rPr>
        <sz val="11"/>
        <rFont val="微软雅黑"/>
        <family val="2"/>
        <charset val="134"/>
      </rPr>
      <t>平均分</t>
    </r>
  </si>
  <si>
    <r>
      <rPr>
        <sz val="11"/>
        <rFont val="微软雅黑"/>
        <family val="2"/>
        <charset val="134"/>
      </rPr>
      <t>取当月对接最频繁的</t>
    </r>
    <r>
      <rPr>
        <sz val="11"/>
        <rFont val="Arial"/>
        <family val="2"/>
      </rPr>
      <t>2-3</t>
    </r>
    <r>
      <rPr>
        <sz val="11"/>
        <rFont val="微软雅黑"/>
        <family val="2"/>
        <charset val="134"/>
      </rPr>
      <t>个业务部门</t>
    </r>
    <r>
      <rPr>
        <sz val="11"/>
        <rFont val="Arial"/>
        <family val="2"/>
      </rPr>
      <t>kpi</t>
    </r>
    <r>
      <rPr>
        <sz val="11"/>
        <rFont val="微软雅黑"/>
        <family val="2"/>
        <charset val="134"/>
      </rPr>
      <t>平均分</t>
    </r>
  </si>
  <si>
    <r>
      <rPr>
        <sz val="11"/>
        <rFont val="微软雅黑"/>
        <family val="2"/>
        <charset val="134"/>
      </rPr>
      <t>业务部门满意度</t>
    </r>
  </si>
  <si>
    <r>
      <rPr>
        <sz val="11"/>
        <rFont val="微软雅黑"/>
        <family val="2"/>
        <charset val="134"/>
      </rPr>
      <t>按照</t>
    </r>
    <r>
      <rPr>
        <sz val="11"/>
        <rFont val="Arial"/>
        <family val="2"/>
      </rPr>
      <t>100</t>
    </r>
    <r>
      <rPr>
        <sz val="11"/>
        <rFont val="微软雅黑"/>
        <family val="2"/>
        <charset val="134"/>
      </rPr>
      <t>分值</t>
    </r>
    <r>
      <rPr>
        <sz val="11"/>
        <rFont val="Arial"/>
        <family val="2"/>
      </rPr>
      <t>*</t>
    </r>
    <r>
      <rPr>
        <sz val="11"/>
        <rFont val="微软雅黑"/>
        <family val="2"/>
        <charset val="134"/>
      </rPr>
      <t>当月对接最频繁的</t>
    </r>
    <r>
      <rPr>
        <sz val="11"/>
        <rFont val="Arial"/>
        <family val="2"/>
      </rPr>
      <t>2</t>
    </r>
    <r>
      <rPr>
        <sz val="11"/>
        <rFont val="微软雅黑"/>
        <family val="2"/>
        <charset val="134"/>
      </rPr>
      <t>个业务部门评分取平均值（问卷内容经董事会审批通过），超过</t>
    </r>
    <r>
      <rPr>
        <sz val="11"/>
        <rFont val="Arial"/>
        <family val="2"/>
      </rPr>
      <t>90</t>
    </r>
    <r>
      <rPr>
        <sz val="11"/>
        <rFont val="微软雅黑"/>
        <family val="2"/>
        <charset val="134"/>
      </rPr>
      <t>分或者低于</t>
    </r>
    <r>
      <rPr>
        <sz val="11"/>
        <rFont val="Arial"/>
        <family val="2"/>
      </rPr>
      <t>80</t>
    </r>
    <r>
      <rPr>
        <sz val="11"/>
        <rFont val="微软雅黑"/>
        <family val="2"/>
        <charset val="134"/>
      </rPr>
      <t>分需举例说明</t>
    </r>
  </si>
  <si>
    <r>
      <t>4</t>
    </r>
    <r>
      <rPr>
        <b/>
        <sz val="11"/>
        <rFont val="微软雅黑"/>
        <family val="2"/>
        <charset val="134"/>
      </rPr>
      <t>月</t>
    </r>
  </si>
  <si>
    <r>
      <t>5</t>
    </r>
    <r>
      <rPr>
        <b/>
        <sz val="11"/>
        <rFont val="微软雅黑"/>
        <family val="2"/>
        <charset val="134"/>
      </rPr>
      <t>月</t>
    </r>
  </si>
  <si>
    <r>
      <t>2020</t>
    </r>
    <r>
      <rPr>
        <b/>
        <sz val="11"/>
        <rFont val="微软雅黑"/>
        <family val="2"/>
        <charset val="134"/>
      </rPr>
      <t>年实际完成</t>
    </r>
  </si>
  <si>
    <r>
      <rPr>
        <b/>
        <sz val="11"/>
        <rFont val="微软雅黑"/>
        <family val="2"/>
        <charset val="134"/>
      </rPr>
      <t>目标达成率</t>
    </r>
  </si>
  <si>
    <r>
      <rPr>
        <sz val="11"/>
        <rFont val="微软雅黑"/>
        <family val="2"/>
        <charset val="134"/>
      </rPr>
      <t>成本费用推算表中的运营部费用（含部门分摊）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打折亏损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满减、红包运营活动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售后退货（运营相关）的少赚部分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（一手数据分析报表平台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用户分析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费用监控报表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区域活动费用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包邮）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折后实发销售额
财务报表分析中的部门费用明细表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广州运营部费用（含部门分摊）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打折亏损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满减、红包运营活动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售后退货（运营相关）的少赚部分</t>
    </r>
    <r>
      <rPr>
        <sz val="11"/>
        <rFont val="Arial"/>
        <family val="2"/>
      </rPr>
      <t>+</t>
    </r>
    <r>
      <rPr>
        <sz val="11"/>
        <rFont val="微软雅黑"/>
        <family val="2"/>
        <charset val="134"/>
      </rPr>
      <t>（一手数据分析报表平台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用户分析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费用监控报表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区域活动费用</t>
    </r>
    <r>
      <rPr>
        <sz val="11"/>
        <rFont val="Arial"/>
        <family val="2"/>
      </rPr>
      <t>-</t>
    </r>
    <r>
      <rPr>
        <sz val="11"/>
        <rFont val="微软雅黑"/>
        <family val="2"/>
        <charset val="134"/>
      </rPr>
      <t>包邮）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>折后实发销售额</t>
    </r>
  </si>
  <si>
    <r>
      <rPr>
        <sz val="11"/>
        <rFont val="微软雅黑"/>
        <family val="2"/>
        <charset val="134"/>
      </rPr>
      <t>比目标绝对值每高出</t>
    </r>
    <r>
      <rPr>
        <sz val="11"/>
        <rFont val="Arial"/>
        <family val="2"/>
      </rPr>
      <t>2% +5</t>
    </r>
    <r>
      <rPr>
        <sz val="11"/>
        <rFont val="微软雅黑"/>
        <family val="2"/>
        <charset val="134"/>
      </rPr>
      <t>分，比目标绝对值每低</t>
    </r>
    <r>
      <rPr>
        <sz val="11"/>
        <rFont val="Arial"/>
        <family val="2"/>
      </rPr>
      <t>2%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</si>
  <si>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比目标绝对值每低</t>
    </r>
    <r>
      <rPr>
        <sz val="11"/>
        <rFont val="Arial"/>
        <family val="2"/>
      </rPr>
      <t>0.005% +5</t>
    </r>
    <r>
      <rPr>
        <sz val="11"/>
        <rFont val="微软雅黑"/>
        <family val="2"/>
        <charset val="134"/>
      </rPr>
      <t>分，比目标绝对值每低</t>
    </r>
    <r>
      <rPr>
        <sz val="11"/>
        <rFont val="Arial"/>
        <family val="2"/>
      </rPr>
      <t>0.005%  -5</t>
    </r>
    <r>
      <rPr>
        <sz val="11"/>
        <rFont val="微软雅黑"/>
        <family val="2"/>
        <charset val="134"/>
      </rPr>
      <t>分</t>
    </r>
  </si>
  <si>
    <r>
      <rPr>
        <sz val="11"/>
        <rFont val="微软雅黑"/>
        <family val="2"/>
        <charset val="134"/>
      </rPr>
      <t>交付时间提前</t>
    </r>
    <r>
      <rPr>
        <sz val="11"/>
        <rFont val="Arial"/>
        <family val="2"/>
      </rPr>
      <t xml:space="preserve">2% </t>
    </r>
    <r>
      <rPr>
        <sz val="11"/>
        <rFont val="微软雅黑"/>
        <family val="2"/>
        <charset val="134"/>
      </rPr>
      <t>加</t>
    </r>
    <r>
      <rPr>
        <sz val="11"/>
        <rFont val="Arial"/>
        <family val="2"/>
      </rPr>
      <t>5</t>
    </r>
    <r>
      <rPr>
        <sz val="11"/>
        <rFont val="微软雅黑"/>
        <family val="2"/>
        <charset val="134"/>
      </rPr>
      <t>分；延迟</t>
    </r>
    <r>
      <rPr>
        <sz val="11"/>
        <rFont val="Arial"/>
        <family val="2"/>
      </rPr>
      <t xml:space="preserve">2% </t>
    </r>
    <r>
      <rPr>
        <sz val="11"/>
        <rFont val="微软雅黑"/>
        <family val="2"/>
        <charset val="134"/>
      </rPr>
      <t>减</t>
    </r>
    <r>
      <rPr>
        <sz val="11"/>
        <rFont val="Arial"/>
        <family val="2"/>
      </rPr>
      <t>5</t>
    </r>
    <r>
      <rPr>
        <sz val="11"/>
        <rFont val="微软雅黑"/>
        <family val="2"/>
        <charset val="134"/>
      </rPr>
      <t>分；业务变更导致的延期不计入；（有</t>
    </r>
    <r>
      <rPr>
        <sz val="11"/>
        <rFont val="Arial"/>
        <family val="2"/>
      </rPr>
      <t>P0</t>
    </r>
    <r>
      <rPr>
        <sz val="11"/>
        <rFont val="微软雅黑"/>
        <family val="2"/>
        <charset val="134"/>
      </rPr>
      <t>或</t>
    </r>
    <r>
      <rPr>
        <sz val="11"/>
        <rFont val="Arial"/>
        <family val="2"/>
      </rPr>
      <t>P1 bug</t>
    </r>
    <r>
      <rPr>
        <sz val="11"/>
        <rFont val="微软雅黑"/>
        <family val="2"/>
        <charset val="134"/>
      </rPr>
      <t>不计提前加分，超过满分的加分项，同时考虑人均工时，人均工时低于</t>
    </r>
    <r>
      <rPr>
        <sz val="11"/>
        <rFont val="Arial"/>
        <family val="2"/>
      </rPr>
      <t>9</t>
    </r>
    <r>
      <rPr>
        <sz val="11"/>
        <rFont val="微软雅黑"/>
        <family val="2"/>
        <charset val="134"/>
      </rPr>
      <t>小时最高为满分，</t>
    </r>
    <r>
      <rPr>
        <sz val="11"/>
        <rFont val="Arial"/>
        <family val="2"/>
      </rPr>
      <t>9-9.5</t>
    </r>
    <r>
      <rPr>
        <sz val="11"/>
        <rFont val="微软雅黑"/>
        <family val="2"/>
        <charset val="134"/>
      </rPr>
      <t>小时加分项</t>
    </r>
    <r>
      <rPr>
        <sz val="11"/>
        <rFont val="Arial"/>
        <family val="2"/>
      </rPr>
      <t>120</t>
    </r>
    <r>
      <rPr>
        <sz val="11"/>
        <rFont val="微软雅黑"/>
        <family val="2"/>
        <charset val="134"/>
      </rPr>
      <t>分封顶，</t>
    </r>
    <r>
      <rPr>
        <sz val="11"/>
        <rFont val="Arial"/>
        <family val="2"/>
      </rPr>
      <t>9.5</t>
    </r>
    <r>
      <rPr>
        <sz val="11"/>
        <rFont val="微软雅黑"/>
        <family val="2"/>
        <charset val="134"/>
      </rPr>
      <t>小时以上</t>
    </r>
    <r>
      <rPr>
        <sz val="11"/>
        <rFont val="Arial"/>
        <family val="2"/>
      </rPr>
      <t xml:space="preserve"> 150</t>
    </r>
    <r>
      <rPr>
        <sz val="11"/>
        <rFont val="微软雅黑"/>
        <family val="2"/>
        <charset val="134"/>
      </rPr>
      <t>分封顶</t>
    </r>
  </si>
  <si>
    <r>
      <rPr>
        <sz val="11"/>
        <rFont val="微软雅黑"/>
        <family val="2"/>
        <charset val="134"/>
      </rPr>
      <t>提前</t>
    </r>
    <r>
      <rPr>
        <sz val="11"/>
        <rFont val="Arial"/>
        <family val="2"/>
      </rPr>
      <t>10%</t>
    </r>
    <r>
      <rPr>
        <sz val="11"/>
        <rFont val="微软雅黑"/>
        <family val="2"/>
        <charset val="134"/>
      </rPr>
      <t>工日交付</t>
    </r>
    <phoneticPr fontId="7" type="noConversion"/>
  </si>
  <si>
    <r>
      <rPr>
        <sz val="11"/>
        <rFont val="微软雅黑"/>
        <family val="2"/>
        <charset val="134"/>
      </rPr>
      <t>当月目标比率为</t>
    </r>
    <r>
      <rPr>
        <sz val="11"/>
        <rFont val="Arial"/>
        <family val="2"/>
      </rPr>
      <t>P0:P1:P2</t>
    </r>
    <r>
      <rPr>
        <sz val="11"/>
        <rFont val="微软雅黑"/>
        <family val="2"/>
        <charset val="134"/>
      </rPr>
      <t>；完成</t>
    </r>
    <r>
      <rPr>
        <sz val="11"/>
        <rFont val="Arial"/>
        <family val="2"/>
      </rPr>
      <t>0:1:2</t>
    </r>
    <r>
      <rPr>
        <sz val="11"/>
        <rFont val="微软雅黑"/>
        <family val="2"/>
        <charset val="134"/>
      </rPr>
      <t>为</t>
    </r>
    <r>
      <rPr>
        <sz val="11"/>
        <rFont val="Arial"/>
        <family val="2"/>
      </rPr>
      <t>100</t>
    </r>
    <r>
      <rPr>
        <sz val="11"/>
        <rFont val="微软雅黑"/>
        <family val="2"/>
        <charset val="134"/>
      </rPr>
      <t>分
超出部分暂定扣分比例为</t>
    </r>
    <r>
      <rPr>
        <sz val="11"/>
        <rFont val="Arial"/>
        <family val="2"/>
      </rPr>
      <t xml:space="preserve"> 40:20:10</t>
    </r>
    <r>
      <rPr>
        <sz val="11"/>
        <rFont val="微软雅黑"/>
        <family val="2"/>
        <charset val="134"/>
      </rPr>
      <t>分；
也就是说超出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次</t>
    </r>
    <r>
      <rPr>
        <sz val="11"/>
        <rFont val="Arial"/>
        <family val="2"/>
      </rPr>
      <t>P0</t>
    </r>
    <r>
      <rPr>
        <sz val="11"/>
        <rFont val="微软雅黑"/>
        <family val="2"/>
        <charset val="134"/>
      </rPr>
      <t>直接扣</t>
    </r>
    <r>
      <rPr>
        <sz val="11"/>
        <rFont val="Arial"/>
        <family val="2"/>
      </rPr>
      <t>40</t>
    </r>
    <r>
      <rPr>
        <sz val="11"/>
        <rFont val="微软雅黑"/>
        <family val="2"/>
        <charset val="134"/>
      </rPr>
      <t>分，超出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次</t>
    </r>
    <r>
      <rPr>
        <sz val="11"/>
        <rFont val="Arial"/>
        <family val="2"/>
      </rPr>
      <t>P1</t>
    </r>
    <r>
      <rPr>
        <sz val="11"/>
        <rFont val="微软雅黑"/>
        <family val="2"/>
        <charset val="134"/>
      </rPr>
      <t>直接扣</t>
    </r>
    <r>
      <rPr>
        <sz val="11"/>
        <rFont val="Arial"/>
        <family val="2"/>
      </rPr>
      <t>20</t>
    </r>
    <r>
      <rPr>
        <sz val="11"/>
        <rFont val="微软雅黑"/>
        <family val="2"/>
        <charset val="134"/>
      </rPr>
      <t>分，</t>
    </r>
    <r>
      <rPr>
        <sz val="11"/>
        <rFont val="Arial"/>
        <family val="2"/>
      </rPr>
      <t>P2</t>
    </r>
    <r>
      <rPr>
        <sz val="11"/>
        <rFont val="微软雅黑"/>
        <family val="2"/>
        <charset val="134"/>
      </rPr>
      <t>一次扣</t>
    </r>
    <r>
      <rPr>
        <sz val="11"/>
        <rFont val="Arial"/>
        <family val="2"/>
      </rPr>
      <t>10</t>
    </r>
    <r>
      <rPr>
        <sz val="11"/>
        <rFont val="微软雅黑"/>
        <family val="2"/>
        <charset val="134"/>
      </rPr>
      <t>分；同理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减少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次</t>
    </r>
    <r>
      <rPr>
        <sz val="11"/>
        <rFont val="Arial"/>
        <family val="2"/>
      </rPr>
      <t xml:space="preserve">P1 </t>
    </r>
    <r>
      <rPr>
        <sz val="11"/>
        <rFont val="微软雅黑"/>
        <family val="2"/>
        <charset val="134"/>
      </rPr>
      <t>加</t>
    </r>
    <r>
      <rPr>
        <sz val="11"/>
        <rFont val="Arial"/>
        <family val="2"/>
      </rPr>
      <t>20</t>
    </r>
    <r>
      <rPr>
        <sz val="11"/>
        <rFont val="微软雅黑"/>
        <family val="2"/>
        <charset val="134"/>
      </rPr>
      <t>，减少一次</t>
    </r>
    <r>
      <rPr>
        <sz val="11"/>
        <rFont val="Arial"/>
        <family val="2"/>
      </rPr>
      <t>P2</t>
    </r>
    <r>
      <rPr>
        <sz val="11"/>
        <rFont val="微软雅黑"/>
        <family val="2"/>
        <charset val="134"/>
      </rPr>
      <t>加</t>
    </r>
    <r>
      <rPr>
        <sz val="11"/>
        <rFont val="Arial"/>
        <family val="2"/>
      </rPr>
      <t>10</t>
    </r>
    <r>
      <rPr>
        <sz val="11"/>
        <rFont val="微软雅黑"/>
        <family val="2"/>
        <charset val="134"/>
      </rPr>
      <t>分</t>
    </r>
    <phoneticPr fontId="7" type="noConversion"/>
  </si>
  <si>
    <r>
      <rPr>
        <sz val="11"/>
        <rFont val="微软雅黑"/>
        <family val="2"/>
        <charset val="134"/>
      </rPr>
      <t>预算准确率</t>
    </r>
  </si>
  <si>
    <r>
      <rPr>
        <sz val="11"/>
        <rFont val="微软雅黑"/>
        <family val="2"/>
        <charset val="134"/>
      </rPr>
      <t>与预算吻合度达到</t>
    </r>
    <r>
      <rPr>
        <sz val="11"/>
        <rFont val="Arial"/>
        <family val="2"/>
      </rPr>
      <t xml:space="preserve">93% </t>
    </r>
    <r>
      <rPr>
        <sz val="11"/>
        <rFont val="微软雅黑"/>
        <family val="2"/>
        <charset val="134"/>
      </rPr>
      <t>满分，差距每加大绝对值</t>
    </r>
    <r>
      <rPr>
        <sz val="11"/>
        <rFont val="Arial"/>
        <family val="2"/>
      </rPr>
      <t xml:space="preserve"> 0.5%</t>
    </r>
    <r>
      <rPr>
        <sz val="11"/>
        <rFont val="微软雅黑"/>
        <family val="2"/>
        <charset val="134"/>
      </rPr>
      <t>，</t>
    </r>
    <r>
      <rPr>
        <sz val="11"/>
        <rFont val="Arial"/>
        <family val="2"/>
      </rPr>
      <t>-5</t>
    </r>
    <r>
      <rPr>
        <sz val="11"/>
        <rFont val="微软雅黑"/>
        <family val="2"/>
        <charset val="134"/>
      </rPr>
      <t>分，差额每缩小绝对值</t>
    </r>
    <r>
      <rPr>
        <sz val="11"/>
        <rFont val="Arial"/>
        <family val="2"/>
      </rPr>
      <t>0.5%+5</t>
    </r>
    <r>
      <rPr>
        <sz val="11"/>
        <rFont val="微软雅黑"/>
        <family val="2"/>
        <charset val="134"/>
      </rPr>
      <t>分</t>
    </r>
    <r>
      <rPr>
        <sz val="11"/>
        <rFont val="Arial"/>
        <family val="2"/>
      </rPr>
      <t xml:space="preserve"> </t>
    </r>
    <phoneticPr fontId="7" type="noConversion"/>
  </si>
  <si>
    <r>
      <rPr>
        <sz val="11"/>
        <rFont val="微软雅黑"/>
        <family val="2"/>
        <charset val="134"/>
      </rPr>
      <t>比目标相对高出</t>
    </r>
    <r>
      <rPr>
        <sz val="11"/>
        <rFont val="Arial"/>
        <family val="2"/>
      </rPr>
      <t>3% +5</t>
    </r>
    <r>
      <rPr>
        <sz val="11"/>
        <rFont val="微软雅黑"/>
        <family val="2"/>
        <charset val="134"/>
      </rPr>
      <t>分，相对降低</t>
    </r>
    <r>
      <rPr>
        <sz val="11"/>
        <rFont val="Arial"/>
        <family val="2"/>
      </rPr>
      <t>3%  -5</t>
    </r>
    <r>
      <rPr>
        <sz val="11"/>
        <rFont val="微软雅黑"/>
        <family val="2"/>
        <charset val="134"/>
      </rPr>
      <t>分</t>
    </r>
    <phoneticPr fontId="7" type="noConversion"/>
  </si>
  <si>
    <t>0:0:1</t>
    <phoneticPr fontId="7" type="noConversion"/>
  </si>
  <si>
    <t>0:0:0</t>
    <phoneticPr fontId="7" type="noConversion"/>
  </si>
  <si>
    <t>0:0:2</t>
    <phoneticPr fontId="7" type="noConversion"/>
  </si>
  <si>
    <r>
      <rPr>
        <sz val="11"/>
        <rFont val="微软雅黑"/>
        <family val="2"/>
        <charset val="134"/>
      </rPr>
      <t>当月目标比率为</t>
    </r>
    <r>
      <rPr>
        <sz val="11"/>
        <rFont val="Arial"/>
        <family val="2"/>
      </rPr>
      <t>P0:P1:P2</t>
    </r>
    <r>
      <rPr>
        <sz val="11"/>
        <rFont val="微软雅黑"/>
        <family val="2"/>
        <charset val="134"/>
      </rPr>
      <t>；完成</t>
    </r>
    <r>
      <rPr>
        <sz val="11"/>
        <rFont val="Arial"/>
        <family val="2"/>
      </rPr>
      <t>0:0:3</t>
    </r>
    <r>
      <rPr>
        <sz val="11"/>
        <rFont val="微软雅黑"/>
        <family val="2"/>
        <charset val="134"/>
      </rPr>
      <t>为</t>
    </r>
    <r>
      <rPr>
        <sz val="11"/>
        <rFont val="Arial"/>
        <family val="2"/>
      </rPr>
      <t>100</t>
    </r>
    <r>
      <rPr>
        <sz val="11"/>
        <rFont val="微软雅黑"/>
        <family val="2"/>
        <charset val="134"/>
      </rPr>
      <t>分
超出部分暂定扣分比例为</t>
    </r>
    <r>
      <rPr>
        <sz val="11"/>
        <rFont val="Arial"/>
        <family val="2"/>
      </rPr>
      <t xml:space="preserve"> 40:20:10</t>
    </r>
    <r>
      <rPr>
        <sz val="11"/>
        <rFont val="微软雅黑"/>
        <family val="2"/>
        <charset val="134"/>
      </rPr>
      <t>分；
也就是说超出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次</t>
    </r>
    <r>
      <rPr>
        <sz val="11"/>
        <rFont val="Arial"/>
        <family val="2"/>
      </rPr>
      <t>P0</t>
    </r>
    <r>
      <rPr>
        <sz val="11"/>
        <rFont val="微软雅黑"/>
        <family val="2"/>
        <charset val="134"/>
      </rPr>
      <t>直接扣</t>
    </r>
    <r>
      <rPr>
        <sz val="11"/>
        <rFont val="Arial"/>
        <family val="2"/>
      </rPr>
      <t>40</t>
    </r>
    <r>
      <rPr>
        <sz val="11"/>
        <rFont val="微软雅黑"/>
        <family val="2"/>
        <charset val="134"/>
      </rPr>
      <t>分，超出</t>
    </r>
    <r>
      <rPr>
        <sz val="11"/>
        <rFont val="Arial"/>
        <family val="2"/>
      </rPr>
      <t>1</t>
    </r>
    <r>
      <rPr>
        <sz val="11"/>
        <rFont val="微软雅黑"/>
        <family val="2"/>
        <charset val="134"/>
      </rPr>
      <t>次</t>
    </r>
    <r>
      <rPr>
        <sz val="11"/>
        <rFont val="Arial"/>
        <family val="2"/>
      </rPr>
      <t>P1</t>
    </r>
    <r>
      <rPr>
        <sz val="11"/>
        <rFont val="微软雅黑"/>
        <family val="2"/>
        <charset val="134"/>
      </rPr>
      <t>直接扣</t>
    </r>
    <r>
      <rPr>
        <sz val="11"/>
        <rFont val="Arial"/>
        <family val="2"/>
      </rPr>
      <t>20</t>
    </r>
    <r>
      <rPr>
        <sz val="11"/>
        <rFont val="微软雅黑"/>
        <family val="2"/>
        <charset val="134"/>
      </rPr>
      <t>分，</t>
    </r>
    <r>
      <rPr>
        <sz val="11"/>
        <rFont val="Arial"/>
        <family val="2"/>
      </rPr>
      <t>P2</t>
    </r>
    <r>
      <rPr>
        <sz val="11"/>
        <rFont val="微软雅黑"/>
        <family val="2"/>
        <charset val="134"/>
      </rPr>
      <t>一次扣</t>
    </r>
    <r>
      <rPr>
        <sz val="11"/>
        <rFont val="Arial"/>
        <family val="2"/>
      </rPr>
      <t>10</t>
    </r>
    <r>
      <rPr>
        <sz val="11"/>
        <rFont val="微软雅黑"/>
        <family val="2"/>
        <charset val="134"/>
      </rPr>
      <t>分；同理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减少一次</t>
    </r>
    <r>
      <rPr>
        <sz val="11"/>
        <rFont val="Arial"/>
        <family val="2"/>
      </rPr>
      <t>P2</t>
    </r>
    <r>
      <rPr>
        <sz val="11"/>
        <rFont val="微软雅黑"/>
        <family val="2"/>
        <charset val="134"/>
      </rPr>
      <t>加</t>
    </r>
    <r>
      <rPr>
        <sz val="11"/>
        <rFont val="Arial"/>
        <family val="2"/>
      </rPr>
      <t>10</t>
    </r>
    <r>
      <rPr>
        <sz val="11"/>
        <rFont val="微软雅黑"/>
        <family val="2"/>
        <charset val="134"/>
      </rPr>
      <t>分</t>
    </r>
    <phoneticPr fontId="7" type="noConversion"/>
  </si>
  <si>
    <r>
      <rPr>
        <sz val="11"/>
        <rFont val="微软雅黑"/>
        <family val="2"/>
        <charset val="134"/>
      </rPr>
      <t>目标值是</t>
    </r>
    <r>
      <rPr>
        <sz val="11"/>
        <rFont val="Arial"/>
        <family val="2"/>
      </rPr>
      <t>99.95%</t>
    </r>
    <r>
      <rPr>
        <sz val="11"/>
        <rFont val="微软雅黑"/>
        <family val="2"/>
        <charset val="134"/>
      </rPr>
      <t>（每月不可用时间</t>
    </r>
    <r>
      <rPr>
        <sz val="11"/>
        <rFont val="Arial"/>
        <family val="2"/>
      </rPr>
      <t>21.6</t>
    </r>
    <r>
      <rPr>
        <sz val="11"/>
        <rFont val="微软雅黑"/>
        <family val="2"/>
        <charset val="134"/>
      </rPr>
      <t>分钟）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，绝对值每</t>
    </r>
    <r>
      <rPr>
        <sz val="11"/>
        <color rgb="FFFF0000"/>
        <rFont val="微软雅黑"/>
        <family val="2"/>
        <charset val="134"/>
      </rPr>
      <t>增加</t>
    </r>
    <r>
      <rPr>
        <sz val="11"/>
        <rFont val="Arial"/>
        <family val="2"/>
      </rPr>
      <t>0.005%</t>
    </r>
    <r>
      <rPr>
        <sz val="11"/>
        <rFont val="微软雅黑"/>
        <family val="2"/>
        <charset val="134"/>
      </rPr>
      <t>（故障每少</t>
    </r>
    <r>
      <rPr>
        <sz val="11"/>
        <rFont val="Arial"/>
        <family val="2"/>
      </rPr>
      <t>2</t>
    </r>
    <r>
      <rPr>
        <sz val="11"/>
        <rFont val="微软雅黑"/>
        <family val="2"/>
        <charset val="134"/>
      </rPr>
      <t>分钟），加</t>
    </r>
    <r>
      <rPr>
        <sz val="11"/>
        <rFont val="Arial"/>
        <family val="2"/>
      </rPr>
      <t>5</t>
    </r>
    <r>
      <rPr>
        <sz val="11"/>
        <rFont val="微软雅黑"/>
        <family val="2"/>
        <charset val="134"/>
      </rPr>
      <t>分</t>
    </r>
    <r>
      <rPr>
        <sz val="11"/>
        <rFont val="Arial"/>
        <family val="2"/>
      </rPr>
      <t>,0</t>
    </r>
    <r>
      <rPr>
        <sz val="11"/>
        <rFont val="微软雅黑"/>
        <family val="2"/>
        <charset val="134"/>
      </rPr>
      <t>故障</t>
    </r>
    <r>
      <rPr>
        <sz val="11"/>
        <rFont val="Arial"/>
        <family val="2"/>
      </rPr>
      <t>150</t>
    </r>
    <r>
      <rPr>
        <sz val="11"/>
        <rFont val="微软雅黑"/>
        <family val="2"/>
        <charset val="134"/>
      </rPr>
      <t>分，每降低</t>
    </r>
    <r>
      <rPr>
        <sz val="11"/>
        <rFont val="Arial"/>
        <family val="2"/>
      </rPr>
      <t xml:space="preserve">0.005% </t>
    </r>
    <r>
      <rPr>
        <sz val="11"/>
        <rFont val="微软雅黑"/>
        <family val="2"/>
        <charset val="134"/>
      </rPr>
      <t>（故障每多</t>
    </r>
    <r>
      <rPr>
        <sz val="11"/>
        <rFont val="Arial"/>
        <family val="2"/>
      </rPr>
      <t>2</t>
    </r>
    <r>
      <rPr>
        <sz val="11"/>
        <rFont val="微软雅黑"/>
        <family val="2"/>
        <charset val="134"/>
      </rPr>
      <t>分钟）减</t>
    </r>
    <r>
      <rPr>
        <sz val="11"/>
        <rFont val="Arial"/>
        <family val="2"/>
      </rPr>
      <t>5</t>
    </r>
    <r>
      <rPr>
        <sz val="11"/>
        <rFont val="微软雅黑"/>
        <family val="2"/>
        <charset val="134"/>
      </rPr>
      <t>分</t>
    </r>
    <r>
      <rPr>
        <sz val="11"/>
        <rFont val="Arial"/>
        <family val="2"/>
      </rPr>
      <t xml:space="preserve"> </t>
    </r>
    <r>
      <rPr>
        <sz val="11"/>
        <rFont val="微软雅黑"/>
        <family val="2"/>
        <charset val="134"/>
      </rPr>
      <t>故障超过</t>
    </r>
    <r>
      <rPr>
        <sz val="11"/>
        <rFont val="Arial"/>
        <family val="2"/>
      </rPr>
      <t>41</t>
    </r>
    <r>
      <rPr>
        <sz val="11"/>
        <rFont val="微软雅黑"/>
        <family val="2"/>
        <charset val="134"/>
      </rPr>
      <t>分钟以上不及格</t>
    </r>
    <phoneticPr fontId="7" type="noConversion"/>
  </si>
  <si>
    <r>
      <rPr>
        <sz val="11"/>
        <rFont val="微软雅黑"/>
        <family val="2"/>
        <charset val="134"/>
      </rPr>
      <t>客服下发工单数量</t>
    </r>
    <r>
      <rPr>
        <sz val="11"/>
        <rFont val="Arial"/>
        <family val="2"/>
      </rPr>
      <t>/</t>
    </r>
    <r>
      <rPr>
        <sz val="11"/>
        <rFont val="微软雅黑"/>
        <family val="2"/>
        <charset val="134"/>
      </rPr>
      <t xml:space="preserve">客户下单订单数量
</t>
    </r>
    <r>
      <rPr>
        <sz val="11"/>
        <color rgb="FFFF0000"/>
        <rFont val="微软雅黑"/>
        <family val="2"/>
        <charset val="134"/>
      </rPr>
      <t>用户体验异常工单数量</t>
    </r>
    <r>
      <rPr>
        <sz val="11"/>
        <color rgb="FFFF0000"/>
        <rFont val="Arial"/>
        <family val="2"/>
      </rPr>
      <t>/</t>
    </r>
    <r>
      <rPr>
        <sz val="11"/>
        <color rgb="FFFF0000"/>
        <rFont val="微软雅黑"/>
        <family val="2"/>
        <charset val="134"/>
      </rPr>
      <t>客户下单订单数量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</si>
</sst>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_ &quot;￥&quot;* #,##0.00_ ;_ &quot;￥&quot;* \-#,##0.00_ ;_ &quot;￥&quot;* &quot;-&quot;??_ ;_ @_ "/>
    <numFmt numFmtId="178" formatCode="#,##0_ "/>
    <numFmt numFmtId="179" formatCode="#,##0_);[Red]\(#,##0\)"/>
    <numFmt numFmtId="181" formatCode="0&quot;.&quot;00,,&quot;亿&quot;"/>
    <numFmt numFmtId="182" formatCode="&quot;￥&quot;#,##0;&quot;￥&quot;\-#,##0"/>
    <numFmt numFmtId="183" formatCode="0.0%"/>
    <numFmt numFmtId="184" formatCode="0_);[Red]\(0\)"/>
    <numFmt numFmtId="185" formatCode="0.0"/>
  </numFmts>
  <fonts count="12" x14ac:knownFonts="1">
    <font>
      <sz val="11"/>
      <color theme="1"/>
      <name val="宋体"/>
      <charset val="134"/>
      <scheme val="minor"/>
    </font>
    <font>
      <b/>
      <sz val="11"/>
      <name val="微软雅黑"/>
      <family val="2"/>
      <charset val="134"/>
    </font>
    <font>
      <sz val="11"/>
      <name val="微软雅黑"/>
      <family val="2"/>
      <charset val="134"/>
    </font>
    <font>
      <sz val="11"/>
      <color rgb="FFFF0000"/>
      <name val="微软雅黑"/>
      <family val="2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b/>
      <sz val="11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6" fillId="0" borderId="0">
      <alignment vertical="center"/>
    </xf>
  </cellStyleXfs>
  <cellXfs count="58">
    <xf numFmtId="0" fontId="0" fillId="0" borderId="0" xfId="0">
      <alignment vertical="center"/>
    </xf>
    <xf numFmtId="10" fontId="10" fillId="0" borderId="1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183" fontId="10" fillId="0" borderId="1" xfId="2" applyNumberFormat="1" applyFont="1" applyFill="1" applyBorder="1" applyAlignment="1">
      <alignment horizontal="left" vertical="center"/>
    </xf>
    <xf numFmtId="10" fontId="10" fillId="0" borderId="1" xfId="2" applyNumberFormat="1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10" fontId="9" fillId="0" borderId="1" xfId="0" applyNumberFormat="1" applyFont="1" applyBorder="1" applyAlignment="1">
      <alignment horizontal="left" vertical="center"/>
    </xf>
    <xf numFmtId="0" fontId="9" fillId="0" borderId="1" xfId="3" applyFont="1" applyBorder="1" applyAlignment="1">
      <alignment horizontal="left" vertical="center" wrapText="1"/>
    </xf>
    <xf numFmtId="9" fontId="9" fillId="0" borderId="1" xfId="3" applyNumberFormat="1" applyFont="1" applyBorder="1" applyAlignment="1">
      <alignment horizontal="left" vertical="center" wrapText="1"/>
    </xf>
    <xf numFmtId="0" fontId="9" fillId="0" borderId="1" xfId="3" applyFont="1" applyBorder="1" applyAlignment="1">
      <alignment horizontal="left" vertical="center"/>
    </xf>
    <xf numFmtId="0" fontId="9" fillId="0" borderId="0" xfId="3" applyFont="1" applyAlignment="1">
      <alignment horizontal="left" vertical="center"/>
    </xf>
    <xf numFmtId="0" fontId="10" fillId="0" borderId="1" xfId="3" applyFont="1" applyBorder="1" applyAlignment="1">
      <alignment horizontal="left" vertical="center"/>
    </xf>
    <xf numFmtId="182" fontId="10" fillId="0" borderId="1" xfId="1" applyNumberFormat="1" applyFont="1" applyFill="1" applyBorder="1" applyAlignment="1">
      <alignment horizontal="left" vertical="top"/>
    </xf>
    <xf numFmtId="182" fontId="10" fillId="0" borderId="1" xfId="3" applyNumberFormat="1" applyFont="1" applyBorder="1" applyAlignment="1">
      <alignment horizontal="left" vertical="top"/>
    </xf>
    <xf numFmtId="0" fontId="10" fillId="0" borderId="0" xfId="3" applyFont="1" applyAlignment="1">
      <alignment horizontal="left" vertical="center"/>
    </xf>
    <xf numFmtId="10" fontId="10" fillId="0" borderId="1" xfId="3" applyNumberFormat="1" applyFont="1" applyBorder="1" applyAlignment="1">
      <alignment horizontal="left" vertical="center"/>
    </xf>
    <xf numFmtId="0" fontId="9" fillId="2" borderId="1" xfId="3" applyFont="1" applyFill="1" applyBorder="1" applyAlignment="1">
      <alignment horizontal="left" vertical="center" wrapText="1"/>
    </xf>
    <xf numFmtId="182" fontId="10" fillId="2" borderId="1" xfId="3" applyNumberFormat="1" applyFont="1" applyFill="1" applyBorder="1" applyAlignment="1">
      <alignment horizontal="left" vertical="top"/>
    </xf>
    <xf numFmtId="10" fontId="9" fillId="2" borderId="1" xfId="3" applyNumberFormat="1" applyFont="1" applyFill="1" applyBorder="1" applyAlignment="1">
      <alignment horizontal="left" vertical="center" wrapText="1"/>
    </xf>
    <xf numFmtId="10" fontId="10" fillId="2" borderId="1" xfId="3" applyNumberFormat="1" applyFont="1" applyFill="1" applyBorder="1" applyAlignment="1">
      <alignment horizontal="left" vertical="center"/>
    </xf>
    <xf numFmtId="10" fontId="10" fillId="0" borderId="0" xfId="3" applyNumberFormat="1" applyFont="1" applyAlignment="1">
      <alignment horizontal="left" vertical="center"/>
    </xf>
    <xf numFmtId="9" fontId="10" fillId="0" borderId="1" xfId="3" applyNumberFormat="1" applyFont="1" applyBorder="1" applyAlignment="1">
      <alignment horizontal="left" vertical="center"/>
    </xf>
    <xf numFmtId="0" fontId="10" fillId="2" borderId="1" xfId="3" applyFont="1" applyFill="1" applyBorder="1" applyAlignment="1">
      <alignment horizontal="left" vertical="center"/>
    </xf>
    <xf numFmtId="182" fontId="10" fillId="0" borderId="1" xfId="3" applyNumberFormat="1" applyFont="1" applyBorder="1" applyAlignment="1">
      <alignment horizontal="left" vertical="center"/>
    </xf>
    <xf numFmtId="182" fontId="10" fillId="2" borderId="1" xfId="3" applyNumberFormat="1" applyFont="1" applyFill="1" applyBorder="1" applyAlignment="1">
      <alignment horizontal="left" vertical="center"/>
    </xf>
    <xf numFmtId="10" fontId="9" fillId="0" borderId="1" xfId="3" applyNumberFormat="1" applyFont="1" applyBorder="1" applyAlignment="1">
      <alignment horizontal="left" vertical="center" wrapText="1"/>
    </xf>
    <xf numFmtId="10" fontId="10" fillId="2" borderId="1" xfId="2" applyNumberFormat="1" applyFont="1" applyFill="1" applyBorder="1" applyAlignment="1">
      <alignment horizontal="left" vertical="center"/>
    </xf>
    <xf numFmtId="9" fontId="10" fillId="2" borderId="1" xfId="3" applyNumberFormat="1" applyFont="1" applyFill="1" applyBorder="1" applyAlignment="1">
      <alignment horizontal="left" vertical="center"/>
    </xf>
    <xf numFmtId="184" fontId="10" fillId="0" borderId="1" xfId="3" applyNumberFormat="1" applyFont="1" applyBorder="1" applyAlignment="1">
      <alignment horizontal="left" vertical="center"/>
    </xf>
    <xf numFmtId="184" fontId="10" fillId="2" borderId="1" xfId="3" applyNumberFormat="1" applyFont="1" applyFill="1" applyBorder="1" applyAlignment="1">
      <alignment horizontal="left" vertical="center"/>
    </xf>
    <xf numFmtId="183" fontId="10" fillId="2" borderId="1" xfId="2" applyNumberFormat="1" applyFont="1" applyFill="1" applyBorder="1" applyAlignment="1">
      <alignment horizontal="left" vertical="center"/>
    </xf>
    <xf numFmtId="1" fontId="10" fillId="2" borderId="1" xfId="3" applyNumberFormat="1" applyFont="1" applyFill="1" applyBorder="1" applyAlignment="1">
      <alignment horizontal="left" vertical="center"/>
    </xf>
    <xf numFmtId="9" fontId="10" fillId="0" borderId="1" xfId="3" applyNumberFormat="1" applyFont="1" applyBorder="1" applyAlignment="1">
      <alignment horizontal="left" vertical="center" wrapText="1"/>
    </xf>
    <xf numFmtId="10" fontId="10" fillId="0" borderId="1" xfId="3" applyNumberFormat="1" applyFont="1" applyBorder="1" applyAlignment="1">
      <alignment horizontal="left" vertical="center" wrapText="1"/>
    </xf>
    <xf numFmtId="0" fontId="10" fillId="0" borderId="1" xfId="3" applyFont="1" applyBorder="1" applyAlignment="1">
      <alignment horizontal="left" vertical="center" wrapText="1"/>
    </xf>
    <xf numFmtId="183" fontId="10" fillId="0" borderId="1" xfId="3" applyNumberFormat="1" applyFont="1" applyBorder="1" applyAlignment="1">
      <alignment horizontal="left" vertical="center"/>
    </xf>
    <xf numFmtId="21" fontId="10" fillId="2" borderId="1" xfId="3" applyNumberFormat="1" applyFont="1" applyFill="1" applyBorder="1" applyAlignment="1">
      <alignment horizontal="left" vertical="center"/>
    </xf>
    <xf numFmtId="10" fontId="10" fillId="2" borderId="1" xfId="3" applyNumberFormat="1" applyFont="1" applyFill="1" applyBorder="1" applyAlignment="1">
      <alignment horizontal="left" vertical="center" wrapText="1"/>
    </xf>
    <xf numFmtId="10" fontId="9" fillId="0" borderId="1" xfId="3" applyNumberFormat="1" applyFont="1" applyBorder="1" applyAlignment="1">
      <alignment horizontal="left" vertical="center"/>
    </xf>
    <xf numFmtId="0" fontId="10" fillId="0" borderId="0" xfId="3" applyFont="1" applyAlignment="1">
      <alignment horizontal="left" vertical="center" wrapText="1"/>
    </xf>
    <xf numFmtId="9" fontId="10" fillId="0" borderId="0" xfId="3" applyNumberFormat="1" applyFont="1" applyAlignment="1">
      <alignment horizontal="left" vertical="center"/>
    </xf>
    <xf numFmtId="0" fontId="9" fillId="0" borderId="0" xfId="3" applyFont="1" applyAlignment="1">
      <alignment horizontal="left" vertical="center" wrapText="1"/>
    </xf>
    <xf numFmtId="181" fontId="10" fillId="0" borderId="1" xfId="3" applyNumberFormat="1" applyFont="1" applyBorder="1" applyAlignment="1">
      <alignment horizontal="left" vertical="center"/>
    </xf>
    <xf numFmtId="181" fontId="10" fillId="2" borderId="1" xfId="3" applyNumberFormat="1" applyFont="1" applyFill="1" applyBorder="1" applyAlignment="1">
      <alignment horizontal="left" vertical="center"/>
    </xf>
    <xf numFmtId="49" fontId="10" fillId="2" borderId="1" xfId="3" applyNumberFormat="1" applyFont="1" applyFill="1" applyBorder="1" applyAlignment="1">
      <alignment horizontal="left" vertical="center"/>
    </xf>
    <xf numFmtId="10" fontId="10" fillId="0" borderId="1" xfId="3" applyNumberFormat="1" applyFont="1" applyBorder="1" applyAlignment="1">
      <alignment horizontal="left" vertical="center"/>
    </xf>
    <xf numFmtId="185" fontId="10" fillId="2" borderId="1" xfId="3" applyNumberFormat="1" applyFont="1" applyFill="1" applyBorder="1" applyAlignment="1">
      <alignment horizontal="left" vertical="center"/>
    </xf>
    <xf numFmtId="10" fontId="11" fillId="2" borderId="1" xfId="3" applyNumberFormat="1" applyFont="1" applyFill="1" applyBorder="1" applyAlignment="1">
      <alignment horizontal="left" vertical="center"/>
    </xf>
    <xf numFmtId="179" fontId="10" fillId="0" borderId="1" xfId="3" applyNumberFormat="1" applyFont="1" applyBorder="1" applyAlignment="1">
      <alignment horizontal="left" vertical="center"/>
    </xf>
    <xf numFmtId="179" fontId="10" fillId="2" borderId="1" xfId="3" applyNumberFormat="1" applyFont="1" applyFill="1" applyBorder="1" applyAlignment="1">
      <alignment horizontal="left" vertical="center"/>
    </xf>
    <xf numFmtId="178" fontId="10" fillId="2" borderId="1" xfId="3" applyNumberFormat="1" applyFont="1" applyFill="1" applyBorder="1" applyAlignment="1">
      <alignment horizontal="left" vertical="center"/>
    </xf>
    <xf numFmtId="185" fontId="10" fillId="0" borderId="1" xfId="3" applyNumberFormat="1" applyFont="1" applyBorder="1" applyAlignment="1">
      <alignment horizontal="left" vertical="center"/>
    </xf>
    <xf numFmtId="0" fontId="10" fillId="0" borderId="1" xfId="3" applyFont="1" applyBorder="1" applyAlignment="1">
      <alignment horizontal="left" vertical="center" wrapText="1"/>
    </xf>
    <xf numFmtId="10" fontId="10" fillId="0" borderId="1" xfId="3" applyNumberFormat="1" applyFont="1" applyBorder="1" applyAlignment="1">
      <alignment horizontal="left" vertical="center" wrapText="1"/>
    </xf>
    <xf numFmtId="9" fontId="10" fillId="0" borderId="1" xfId="3" applyNumberFormat="1" applyFont="1" applyBorder="1" applyAlignment="1">
      <alignment horizontal="left" vertical="center"/>
    </xf>
    <xf numFmtId="10" fontId="10" fillId="0" borderId="1" xfId="3" applyNumberFormat="1" applyFont="1" applyBorder="1" applyAlignment="1">
      <alignment horizontal="left" vertical="center"/>
    </xf>
    <xf numFmtId="9" fontId="10" fillId="0" borderId="1" xfId="3" applyNumberFormat="1" applyFont="1" applyBorder="1" applyAlignment="1">
      <alignment horizontal="left" vertical="center" wrapText="1"/>
    </xf>
    <xf numFmtId="9" fontId="10" fillId="0" borderId="1" xfId="2" applyFont="1" applyFill="1" applyBorder="1" applyAlignment="1">
      <alignment horizontal="left" vertical="center" wrapText="1"/>
    </xf>
  </cellXfs>
  <cellStyles count="4">
    <cellStyle name="百分比" xfId="2" builtinId="5"/>
    <cellStyle name="常规" xfId="0" builtinId="0"/>
    <cellStyle name="常规 2" xfId="3"/>
    <cellStyle name="货币" xfId="1" builtinId="4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11" Type="http://schemas.openxmlformats.org/officeDocument/2006/relationships/customXml" Target="../customXml/item6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340"/>
  <sheetViews>
    <sheetView tabSelected="1" workbookViewId="0">
      <pane xSplit="7" ySplit="1" topLeftCell="N2" activePane="bottomRight" state="frozen"/>
      <selection pane="topRight" activeCell="H1" sqref="H1"/>
      <selection pane="bottomLeft" activeCell="A2" sqref="A2"/>
      <selection pane="bottomRight" activeCell="E9" sqref="E9:E15"/>
    </sheetView>
  </sheetViews>
  <sheetFormatPr defaultColWidth="21.21875" defaultRowHeight="13.8" x14ac:dyDescent="0.25"/>
  <cols>
    <col min="1" max="1" width="12.5546875" style="39" customWidth="1"/>
    <col min="2" max="2" width="13.21875" style="39" customWidth="1"/>
    <col min="3" max="3" width="22" style="39" customWidth="1"/>
    <col min="4" max="4" width="13" style="40" customWidth="1"/>
    <col min="5" max="5" width="21.21875" style="39" customWidth="1"/>
    <col min="6" max="6" width="9.21875" style="14" customWidth="1"/>
    <col min="7" max="7" width="21.21875" style="41" customWidth="1"/>
    <col min="8" max="19" width="12.88671875" style="14" customWidth="1"/>
    <col min="20" max="16384" width="21.21875" style="14"/>
  </cols>
  <sheetData>
    <row r="1" spans="1:19" s="10" customFormat="1" ht="22.05" customHeight="1" x14ac:dyDescent="0.25">
      <c r="A1" s="7" t="s">
        <v>3</v>
      </c>
      <c r="B1" s="7" t="s">
        <v>4</v>
      </c>
      <c r="C1" s="7" t="s">
        <v>5</v>
      </c>
      <c r="D1" s="8" t="s">
        <v>6</v>
      </c>
      <c r="E1" s="7" t="s">
        <v>5</v>
      </c>
      <c r="F1" s="9"/>
      <c r="G1" s="7" t="s">
        <v>7</v>
      </c>
      <c r="H1" s="9" t="s">
        <v>8</v>
      </c>
      <c r="I1" s="9" t="s">
        <v>9</v>
      </c>
      <c r="J1" s="9" t="s">
        <v>10</v>
      </c>
      <c r="K1" s="9" t="s">
        <v>132</v>
      </c>
      <c r="L1" s="9" t="s">
        <v>133</v>
      </c>
      <c r="M1" s="9" t="s">
        <v>11</v>
      </c>
      <c r="N1" s="9" t="s">
        <v>12</v>
      </c>
      <c r="O1" s="9" t="s">
        <v>13</v>
      </c>
      <c r="P1" s="9" t="s">
        <v>14</v>
      </c>
      <c r="Q1" s="9" t="s">
        <v>15</v>
      </c>
      <c r="R1" s="9" t="s">
        <v>16</v>
      </c>
      <c r="S1" s="9" t="s">
        <v>17</v>
      </c>
    </row>
    <row r="2" spans="1:19" ht="16.95" customHeight="1" x14ac:dyDescent="0.25">
      <c r="A2" s="52" t="s">
        <v>18</v>
      </c>
      <c r="B2" s="52" t="s">
        <v>19</v>
      </c>
      <c r="C2" s="52" t="s">
        <v>20</v>
      </c>
      <c r="D2" s="54">
        <v>0.3</v>
      </c>
      <c r="E2" s="56" t="s">
        <v>21</v>
      </c>
      <c r="F2" s="11"/>
      <c r="G2" s="7" t="s">
        <v>22</v>
      </c>
      <c r="H2" s="12">
        <v>1377.45301690575</v>
      </c>
      <c r="I2" s="12">
        <v>1692.8207068398899</v>
      </c>
      <c r="J2" s="12">
        <v>1428.80318162347</v>
      </c>
      <c r="K2" s="12">
        <v>1287.784264381</v>
      </c>
      <c r="L2" s="12">
        <v>1217.9571344153301</v>
      </c>
      <c r="M2" s="12">
        <v>1039.87437278113</v>
      </c>
      <c r="N2" s="13">
        <v>939.79002805238099</v>
      </c>
      <c r="O2" s="13">
        <v>1600.93643623975</v>
      </c>
      <c r="P2" s="13">
        <v>1613.82704001343</v>
      </c>
      <c r="Q2" s="13">
        <v>1827.8305998385999</v>
      </c>
      <c r="R2" s="12">
        <v>1717.24553927688</v>
      </c>
      <c r="S2" s="12">
        <v>1649.7219359589301</v>
      </c>
    </row>
    <row r="3" spans="1:19" ht="16.95" customHeight="1" x14ac:dyDescent="0.25">
      <c r="A3" s="52"/>
      <c r="B3" s="52"/>
      <c r="C3" s="52"/>
      <c r="D3" s="54"/>
      <c r="E3" s="52"/>
      <c r="F3" s="11"/>
      <c r="G3" s="7" t="s">
        <v>23</v>
      </c>
      <c r="H3" s="13">
        <v>993.64283181621602</v>
      </c>
      <c r="I3" s="13">
        <v>1565.54</v>
      </c>
      <c r="J3" s="13">
        <v>1691</v>
      </c>
      <c r="K3" s="13">
        <v>1450</v>
      </c>
      <c r="L3" s="13">
        <v>1380</v>
      </c>
      <c r="M3" s="13">
        <v>1200</v>
      </c>
      <c r="N3" s="13">
        <v>1096</v>
      </c>
      <c r="O3" s="13">
        <v>1870</v>
      </c>
      <c r="P3" s="13">
        <v>1900</v>
      </c>
      <c r="Q3" s="13">
        <v>2200</v>
      </c>
      <c r="R3" s="13">
        <v>2200</v>
      </c>
      <c r="S3" s="13">
        <v>2050</v>
      </c>
    </row>
    <row r="4" spans="1:19" ht="16.95" customHeight="1" x14ac:dyDescent="0.25">
      <c r="A4" s="52"/>
      <c r="B4" s="52"/>
      <c r="C4" s="52"/>
      <c r="D4" s="54"/>
      <c r="E4" s="52"/>
      <c r="F4" s="11"/>
      <c r="G4" s="7" t="s">
        <v>26</v>
      </c>
      <c r="H4" s="13">
        <f t="shared" ref="H4:S4" si="0">+H3*1.25</f>
        <v>1242.0535397702699</v>
      </c>
      <c r="I4" s="13">
        <f t="shared" si="0"/>
        <v>1956.925</v>
      </c>
      <c r="J4" s="13">
        <f t="shared" si="0"/>
        <v>2113.75</v>
      </c>
      <c r="K4" s="13">
        <f t="shared" si="0"/>
        <v>1812.5</v>
      </c>
      <c r="L4" s="13">
        <f t="shared" si="0"/>
        <v>1725</v>
      </c>
      <c r="M4" s="13">
        <f t="shared" si="0"/>
        <v>1500</v>
      </c>
      <c r="N4" s="13">
        <f t="shared" si="0"/>
        <v>1370</v>
      </c>
      <c r="O4" s="13">
        <f t="shared" si="0"/>
        <v>2337.5</v>
      </c>
      <c r="P4" s="13">
        <f t="shared" si="0"/>
        <v>2375</v>
      </c>
      <c r="Q4" s="13">
        <f t="shared" si="0"/>
        <v>2750</v>
      </c>
      <c r="R4" s="13">
        <f t="shared" si="0"/>
        <v>2750</v>
      </c>
      <c r="S4" s="13">
        <f t="shared" si="0"/>
        <v>2562.5</v>
      </c>
    </row>
    <row r="5" spans="1:19" ht="16.95" customHeight="1" x14ac:dyDescent="0.25">
      <c r="A5" s="52"/>
      <c r="B5" s="52"/>
      <c r="C5" s="52"/>
      <c r="D5" s="54"/>
      <c r="E5" s="52"/>
      <c r="F5" s="11"/>
      <c r="G5" s="7" t="s">
        <v>27</v>
      </c>
      <c r="H5" s="13">
        <f t="shared" ref="H5:S5" si="1">+H3*0.8</f>
        <v>794.91426545297281</v>
      </c>
      <c r="I5" s="13">
        <f t="shared" si="1"/>
        <v>1252.432</v>
      </c>
      <c r="J5" s="13">
        <f t="shared" si="1"/>
        <v>1352.8000000000002</v>
      </c>
      <c r="K5" s="13">
        <f t="shared" si="1"/>
        <v>1160</v>
      </c>
      <c r="L5" s="13">
        <f t="shared" si="1"/>
        <v>1104</v>
      </c>
      <c r="M5" s="13">
        <f t="shared" si="1"/>
        <v>960</v>
      </c>
      <c r="N5" s="13">
        <f t="shared" si="1"/>
        <v>876.80000000000007</v>
      </c>
      <c r="O5" s="13">
        <f t="shared" si="1"/>
        <v>1496</v>
      </c>
      <c r="P5" s="13">
        <f t="shared" si="1"/>
        <v>1520</v>
      </c>
      <c r="Q5" s="13">
        <f t="shared" si="1"/>
        <v>1760</v>
      </c>
      <c r="R5" s="13">
        <f t="shared" si="1"/>
        <v>1760</v>
      </c>
      <c r="S5" s="13">
        <f t="shared" si="1"/>
        <v>1640</v>
      </c>
    </row>
    <row r="6" spans="1:19" ht="16.95" customHeight="1" x14ac:dyDescent="0.25">
      <c r="A6" s="52"/>
      <c r="B6" s="52"/>
      <c r="C6" s="52"/>
      <c r="D6" s="54"/>
      <c r="E6" s="52"/>
      <c r="F6" s="11"/>
      <c r="G6" s="7" t="s">
        <v>24</v>
      </c>
      <c r="H6" s="15">
        <f>(H3-H2)/H2</f>
        <v>-0.27863758718370546</v>
      </c>
      <c r="I6" s="45">
        <f t="shared" ref="I6:S6" si="2">(I3-I2)/I2</f>
        <v>-7.5188533744659822E-2</v>
      </c>
      <c r="J6" s="45">
        <f t="shared" si="2"/>
        <v>0.18350800288575106</v>
      </c>
      <c r="K6" s="45">
        <f t="shared" si="2"/>
        <v>0.12596499282197113</v>
      </c>
      <c r="L6" s="45">
        <f t="shared" si="2"/>
        <v>0.13304480182913597</v>
      </c>
      <c r="M6" s="45">
        <f t="shared" si="2"/>
        <v>0.15398554999544434</v>
      </c>
      <c r="N6" s="45">
        <f t="shared" si="2"/>
        <v>0.16621795005778925</v>
      </c>
      <c r="O6" s="45">
        <f t="shared" si="2"/>
        <v>0.16806636270470643</v>
      </c>
      <c r="P6" s="45">
        <f t="shared" si="2"/>
        <v>0.17732566928869192</v>
      </c>
      <c r="Q6" s="45">
        <f t="shared" si="2"/>
        <v>0.20361263248041866</v>
      </c>
      <c r="R6" s="45">
        <f t="shared" si="2"/>
        <v>0.28112139451321827</v>
      </c>
      <c r="S6" s="45">
        <f t="shared" si="2"/>
        <v>0.24263365559748176</v>
      </c>
    </row>
    <row r="7" spans="1:19" ht="16.95" customHeight="1" x14ac:dyDescent="0.25">
      <c r="A7" s="52"/>
      <c r="B7" s="52"/>
      <c r="C7" s="52"/>
      <c r="D7" s="54"/>
      <c r="E7" s="52"/>
      <c r="F7" s="11"/>
      <c r="G7" s="16" t="s">
        <v>134</v>
      </c>
      <c r="H7" s="17"/>
      <c r="I7" s="17"/>
      <c r="J7" s="17"/>
      <c r="K7" s="17">
        <v>1443</v>
      </c>
      <c r="L7" s="17">
        <v>1374.8626670246999</v>
      </c>
      <c r="M7" s="17">
        <v>1073.07</v>
      </c>
      <c r="N7" s="17">
        <v>884.72</v>
      </c>
      <c r="O7" s="17"/>
      <c r="P7" s="17"/>
      <c r="Q7" s="17"/>
      <c r="R7" s="17"/>
      <c r="S7" s="17"/>
    </row>
    <row r="8" spans="1:19" s="20" customFormat="1" ht="16.95" customHeight="1" x14ac:dyDescent="0.25">
      <c r="A8" s="53"/>
      <c r="B8" s="53"/>
      <c r="C8" s="53"/>
      <c r="D8" s="55"/>
      <c r="E8" s="53"/>
      <c r="F8" s="15"/>
      <c r="G8" s="18" t="s">
        <v>135</v>
      </c>
      <c r="H8" s="19"/>
      <c r="I8" s="19"/>
      <c r="J8" s="19"/>
      <c r="K8" s="19">
        <f>IFERROR(K7/K3,"")</f>
        <v>0.99517241379310339</v>
      </c>
      <c r="L8" s="19">
        <f>IFERROR(L7/L3,"")</f>
        <v>0.99627729494543471</v>
      </c>
      <c r="M8" s="19">
        <f>IFERROR(M7/M3,"")</f>
        <v>0.89422499999999994</v>
      </c>
      <c r="N8" s="19">
        <f>IFERROR(N7/N3,"")</f>
        <v>0.80722627737226282</v>
      </c>
      <c r="O8" s="19"/>
      <c r="P8" s="19"/>
      <c r="Q8" s="19"/>
      <c r="R8" s="19"/>
      <c r="S8" s="19"/>
    </row>
    <row r="9" spans="1:19" ht="16.95" customHeight="1" x14ac:dyDescent="0.25">
      <c r="A9" s="52" t="s">
        <v>18</v>
      </c>
      <c r="B9" s="52" t="s">
        <v>0</v>
      </c>
      <c r="C9" s="52" t="s">
        <v>25</v>
      </c>
      <c r="D9" s="54">
        <v>0.3</v>
      </c>
      <c r="E9" s="56" t="s">
        <v>21</v>
      </c>
      <c r="F9" s="21"/>
      <c r="G9" s="7" t="s">
        <v>22</v>
      </c>
      <c r="H9" s="48">
        <v>60941</v>
      </c>
      <c r="I9" s="48">
        <v>51645</v>
      </c>
      <c r="J9" s="48">
        <v>82805</v>
      </c>
      <c r="K9" s="48">
        <v>79416</v>
      </c>
      <c r="L9" s="48">
        <v>74622</v>
      </c>
      <c r="M9" s="48">
        <v>74384</v>
      </c>
      <c r="N9" s="48">
        <v>71786</v>
      </c>
      <c r="O9" s="48">
        <v>77363</v>
      </c>
      <c r="P9" s="48">
        <v>92749</v>
      </c>
      <c r="Q9" s="48">
        <v>106745</v>
      </c>
      <c r="R9" s="48">
        <v>120253</v>
      </c>
      <c r="S9" s="48">
        <v>125540</v>
      </c>
    </row>
    <row r="10" spans="1:19" ht="16.95" customHeight="1" x14ac:dyDescent="0.25">
      <c r="A10" s="52"/>
      <c r="B10" s="52"/>
      <c r="C10" s="52"/>
      <c r="D10" s="54"/>
      <c r="E10" s="52"/>
      <c r="F10" s="11"/>
      <c r="G10" s="7" t="s">
        <v>23</v>
      </c>
      <c r="H10" s="48">
        <v>75930</v>
      </c>
      <c r="I10" s="48">
        <v>60188</v>
      </c>
      <c r="J10" s="48">
        <v>100176</v>
      </c>
      <c r="K10" s="48">
        <v>122732</v>
      </c>
      <c r="L10" s="48">
        <v>115734</v>
      </c>
      <c r="M10" s="48">
        <v>106057</v>
      </c>
      <c r="N10" s="48">
        <v>100304</v>
      </c>
      <c r="O10" s="48">
        <v>105955</v>
      </c>
      <c r="P10" s="48">
        <v>130183</v>
      </c>
      <c r="Q10" s="48">
        <v>141258</v>
      </c>
      <c r="R10" s="48">
        <v>167259</v>
      </c>
      <c r="S10" s="48">
        <v>167720</v>
      </c>
    </row>
    <row r="11" spans="1:19" ht="16.95" customHeight="1" x14ac:dyDescent="0.25">
      <c r="A11" s="52"/>
      <c r="B11" s="52"/>
      <c r="C11" s="52"/>
      <c r="D11" s="54"/>
      <c r="E11" s="52"/>
      <c r="F11" s="11"/>
      <c r="G11" s="7" t="s">
        <v>26</v>
      </c>
      <c r="H11" s="48">
        <f t="shared" ref="H11:S11" si="3">+H10*1.25</f>
        <v>94912.5</v>
      </c>
      <c r="I11" s="48">
        <f t="shared" si="3"/>
        <v>75235</v>
      </c>
      <c r="J11" s="48">
        <f t="shared" si="3"/>
        <v>125220</v>
      </c>
      <c r="K11" s="48">
        <f t="shared" si="3"/>
        <v>153415</v>
      </c>
      <c r="L11" s="48">
        <f t="shared" si="3"/>
        <v>144667.5</v>
      </c>
      <c r="M11" s="48">
        <f t="shared" si="3"/>
        <v>132571.25</v>
      </c>
      <c r="N11" s="48">
        <f t="shared" si="3"/>
        <v>125380</v>
      </c>
      <c r="O11" s="48">
        <f t="shared" si="3"/>
        <v>132443.75</v>
      </c>
      <c r="P11" s="48">
        <f t="shared" si="3"/>
        <v>162728.75</v>
      </c>
      <c r="Q11" s="48">
        <f t="shared" si="3"/>
        <v>176572.5</v>
      </c>
      <c r="R11" s="48">
        <f t="shared" si="3"/>
        <v>209073.75</v>
      </c>
      <c r="S11" s="48">
        <f t="shared" si="3"/>
        <v>209650</v>
      </c>
    </row>
    <row r="12" spans="1:19" ht="16.95" customHeight="1" x14ac:dyDescent="0.25">
      <c r="A12" s="52"/>
      <c r="B12" s="52"/>
      <c r="C12" s="52"/>
      <c r="D12" s="54"/>
      <c r="E12" s="52"/>
      <c r="F12" s="11"/>
      <c r="G12" s="7" t="s">
        <v>27</v>
      </c>
      <c r="H12" s="48">
        <f t="shared" ref="H12:S12" si="4">+H10*0.8</f>
        <v>60744</v>
      </c>
      <c r="I12" s="48">
        <f t="shared" si="4"/>
        <v>48150.400000000001</v>
      </c>
      <c r="J12" s="48">
        <f t="shared" si="4"/>
        <v>80140.800000000003</v>
      </c>
      <c r="K12" s="48">
        <f t="shared" si="4"/>
        <v>98185.600000000006</v>
      </c>
      <c r="L12" s="48">
        <f t="shared" si="4"/>
        <v>92587.200000000012</v>
      </c>
      <c r="M12" s="48">
        <f t="shared" si="4"/>
        <v>84845.6</v>
      </c>
      <c r="N12" s="48">
        <f t="shared" si="4"/>
        <v>80243.200000000012</v>
      </c>
      <c r="O12" s="48">
        <f t="shared" si="4"/>
        <v>84764</v>
      </c>
      <c r="P12" s="48">
        <f t="shared" si="4"/>
        <v>104146.40000000001</v>
      </c>
      <c r="Q12" s="48">
        <f t="shared" si="4"/>
        <v>113006.40000000001</v>
      </c>
      <c r="R12" s="48">
        <f t="shared" si="4"/>
        <v>133807.20000000001</v>
      </c>
      <c r="S12" s="48">
        <f t="shared" si="4"/>
        <v>134176</v>
      </c>
    </row>
    <row r="13" spans="1:19" ht="16.95" customHeight="1" x14ac:dyDescent="0.25">
      <c r="A13" s="52"/>
      <c r="B13" s="52"/>
      <c r="C13" s="52"/>
      <c r="D13" s="54"/>
      <c r="E13" s="52"/>
      <c r="F13" s="11"/>
      <c r="G13" s="7" t="s">
        <v>24</v>
      </c>
      <c r="H13" s="45">
        <f>(H10-H9)/H9</f>
        <v>0.2459592064455785</v>
      </c>
      <c r="I13" s="45">
        <f t="shared" ref="I13:S13" si="5">(I10-I9)/I9</f>
        <v>0.16541775583309129</v>
      </c>
      <c r="J13" s="45">
        <f t="shared" si="5"/>
        <v>0.20978201799408247</v>
      </c>
      <c r="K13" s="45">
        <f t="shared" si="5"/>
        <v>0.54543165105268465</v>
      </c>
      <c r="L13" s="45">
        <f t="shared" si="5"/>
        <v>0.55093672107421399</v>
      </c>
      <c r="M13" s="45">
        <f t="shared" si="5"/>
        <v>0.42580393633039365</v>
      </c>
      <c r="N13" s="45">
        <f t="shared" si="5"/>
        <v>0.39726409049118211</v>
      </c>
      <c r="O13" s="45">
        <f t="shared" si="5"/>
        <v>0.3695823584917855</v>
      </c>
      <c r="P13" s="45">
        <f t="shared" si="5"/>
        <v>0.40360542970813701</v>
      </c>
      <c r="Q13" s="45">
        <f t="shared" si="5"/>
        <v>0.32332193545365123</v>
      </c>
      <c r="R13" s="45">
        <f t="shared" si="5"/>
        <v>0.39089253490557407</v>
      </c>
      <c r="S13" s="45">
        <f t="shared" si="5"/>
        <v>0.33598852955233394</v>
      </c>
    </row>
    <row r="14" spans="1:19" ht="16.95" customHeight="1" x14ac:dyDescent="0.25">
      <c r="A14" s="52"/>
      <c r="B14" s="52"/>
      <c r="C14" s="52"/>
      <c r="D14" s="54"/>
      <c r="E14" s="52"/>
      <c r="F14" s="11"/>
      <c r="G14" s="16" t="s">
        <v>134</v>
      </c>
      <c r="H14" s="49"/>
      <c r="I14" s="49"/>
      <c r="J14" s="49"/>
      <c r="K14" s="49">
        <v>112172</v>
      </c>
      <c r="L14" s="49">
        <v>113955</v>
      </c>
      <c r="M14" s="49">
        <v>107236</v>
      </c>
      <c r="N14" s="49">
        <v>99400.161290322605</v>
      </c>
      <c r="O14" s="49"/>
      <c r="P14" s="49"/>
      <c r="Q14" s="49"/>
      <c r="R14" s="49"/>
      <c r="S14" s="49"/>
    </row>
    <row r="15" spans="1:19" s="20" customFormat="1" ht="16.95" customHeight="1" x14ac:dyDescent="0.25">
      <c r="A15" s="53"/>
      <c r="B15" s="53"/>
      <c r="C15" s="53"/>
      <c r="D15" s="55"/>
      <c r="E15" s="53"/>
      <c r="F15" s="15"/>
      <c r="G15" s="18" t="s">
        <v>135</v>
      </c>
      <c r="H15" s="19"/>
      <c r="I15" s="19"/>
      <c r="J15" s="19"/>
      <c r="K15" s="19">
        <f>IFERROR(K14/K10,"")</f>
        <v>0.91395886973242513</v>
      </c>
      <c r="L15" s="19">
        <f>IFERROR(L14/L10,"")</f>
        <v>0.98462854476644723</v>
      </c>
      <c r="M15" s="19">
        <f>IFERROR(M14/M10,"")</f>
        <v>1.0111166636808508</v>
      </c>
      <c r="N15" s="19">
        <f>IFERROR(N14/N10,"")</f>
        <v>0.99098900632400111</v>
      </c>
      <c r="O15" s="19"/>
      <c r="P15" s="19"/>
      <c r="Q15" s="19"/>
      <c r="R15" s="19"/>
      <c r="S15" s="19"/>
    </row>
    <row r="16" spans="1:19" ht="16.95" customHeight="1" x14ac:dyDescent="0.25">
      <c r="A16" s="52" t="s">
        <v>18</v>
      </c>
      <c r="B16" s="52" t="s">
        <v>28</v>
      </c>
      <c r="C16" s="52" t="s">
        <v>29</v>
      </c>
      <c r="D16" s="54">
        <v>0.2</v>
      </c>
      <c r="E16" s="52" t="s">
        <v>30</v>
      </c>
      <c r="F16" s="21"/>
      <c r="G16" s="7" t="s">
        <v>22</v>
      </c>
      <c r="H16" s="42">
        <v>108027668.2</v>
      </c>
      <c r="I16" s="42">
        <v>78275399.489999995</v>
      </c>
      <c r="J16" s="42">
        <v>121729617.94</v>
      </c>
      <c r="K16" s="42">
        <v>108218700.98999999</v>
      </c>
      <c r="L16" s="42">
        <v>105182412.98</v>
      </c>
      <c r="M16" s="42">
        <v>94309242.189999998</v>
      </c>
      <c r="N16" s="42">
        <v>77619390.450000003</v>
      </c>
      <c r="O16" s="42">
        <v>127888814.61</v>
      </c>
      <c r="P16" s="42">
        <v>164619774.09999999</v>
      </c>
      <c r="Q16" s="42">
        <v>219901058.91</v>
      </c>
      <c r="R16" s="42">
        <v>237890073.77000001</v>
      </c>
      <c r="S16" s="42">
        <v>237648489.24000001</v>
      </c>
    </row>
    <row r="17" spans="1:19" ht="16.95" customHeight="1" x14ac:dyDescent="0.25">
      <c r="A17" s="52"/>
      <c r="B17" s="52"/>
      <c r="C17" s="52"/>
      <c r="D17" s="54"/>
      <c r="E17" s="52"/>
      <c r="F17" s="11"/>
      <c r="G17" s="7" t="s">
        <v>31</v>
      </c>
      <c r="H17" s="42">
        <v>89619627.930000007</v>
      </c>
      <c r="I17" s="42">
        <v>63922400</v>
      </c>
      <c r="J17" s="42">
        <v>125000000</v>
      </c>
      <c r="K17" s="42">
        <v>150000000</v>
      </c>
      <c r="L17" s="42">
        <v>150000000</v>
      </c>
      <c r="M17" s="42">
        <v>140000000</v>
      </c>
      <c r="N17" s="42">
        <v>125000000</v>
      </c>
      <c r="O17" s="42">
        <v>200000000</v>
      </c>
      <c r="P17" s="42">
        <v>270000000</v>
      </c>
      <c r="Q17" s="42">
        <v>350000000</v>
      </c>
      <c r="R17" s="42">
        <v>400000000</v>
      </c>
      <c r="S17" s="42">
        <v>400000000</v>
      </c>
    </row>
    <row r="18" spans="1:19" ht="16.95" customHeight="1" x14ac:dyDescent="0.25">
      <c r="A18" s="52"/>
      <c r="B18" s="52"/>
      <c r="C18" s="52"/>
      <c r="D18" s="54"/>
      <c r="E18" s="52"/>
      <c r="F18" s="11"/>
      <c r="G18" s="7" t="s">
        <v>32</v>
      </c>
      <c r="H18" s="42">
        <v>89619627.930000007</v>
      </c>
      <c r="I18" s="42">
        <v>63922400</v>
      </c>
      <c r="J18" s="42">
        <v>140000000</v>
      </c>
      <c r="K18" s="42">
        <v>185000000</v>
      </c>
      <c r="L18" s="42">
        <v>180000000</v>
      </c>
      <c r="M18" s="42">
        <v>170000000</v>
      </c>
      <c r="N18" s="42">
        <v>145000000</v>
      </c>
      <c r="O18" s="42">
        <v>230000000</v>
      </c>
      <c r="P18" s="42">
        <v>300000000</v>
      </c>
      <c r="Q18" s="42">
        <v>430000000</v>
      </c>
      <c r="R18" s="42">
        <v>500000000</v>
      </c>
      <c r="S18" s="42">
        <v>500000000</v>
      </c>
    </row>
    <row r="19" spans="1:19" ht="16.95" customHeight="1" x14ac:dyDescent="0.25">
      <c r="A19" s="52"/>
      <c r="B19" s="52"/>
      <c r="C19" s="52"/>
      <c r="D19" s="54"/>
      <c r="E19" s="52"/>
      <c r="F19" s="11"/>
      <c r="G19" s="7" t="s">
        <v>33</v>
      </c>
      <c r="H19" s="23"/>
      <c r="I19" s="23"/>
      <c r="J19" s="42"/>
      <c r="K19" s="42">
        <f t="shared" ref="K19:S19" si="6">(K18-K17)/10</f>
        <v>3500000</v>
      </c>
      <c r="L19" s="42">
        <f t="shared" si="6"/>
        <v>3000000</v>
      </c>
      <c r="M19" s="42">
        <f t="shared" si="6"/>
        <v>3000000</v>
      </c>
      <c r="N19" s="42">
        <f t="shared" si="6"/>
        <v>2000000</v>
      </c>
      <c r="O19" s="42">
        <f t="shared" si="6"/>
        <v>3000000</v>
      </c>
      <c r="P19" s="42">
        <f t="shared" si="6"/>
        <v>3000000</v>
      </c>
      <c r="Q19" s="42">
        <f t="shared" si="6"/>
        <v>8000000</v>
      </c>
      <c r="R19" s="42">
        <f t="shared" si="6"/>
        <v>10000000</v>
      </c>
      <c r="S19" s="42">
        <f t="shared" si="6"/>
        <v>10000000</v>
      </c>
    </row>
    <row r="20" spans="1:19" ht="16.95" customHeight="1" x14ac:dyDescent="0.25">
      <c r="A20" s="52"/>
      <c r="B20" s="52"/>
      <c r="C20" s="52"/>
      <c r="D20" s="54"/>
      <c r="E20" s="52"/>
      <c r="F20" s="11"/>
      <c r="G20" s="7" t="s">
        <v>26</v>
      </c>
      <c r="H20" s="23"/>
      <c r="I20" s="23"/>
      <c r="J20" s="42"/>
      <c r="K20" s="42">
        <f>+K17+K19*10</f>
        <v>185000000</v>
      </c>
      <c r="L20" s="42">
        <f t="shared" ref="L20:S20" si="7">+L17+L19*10</f>
        <v>180000000</v>
      </c>
      <c r="M20" s="42">
        <f t="shared" si="7"/>
        <v>170000000</v>
      </c>
      <c r="N20" s="42">
        <f t="shared" si="7"/>
        <v>145000000</v>
      </c>
      <c r="O20" s="42">
        <f t="shared" si="7"/>
        <v>230000000</v>
      </c>
      <c r="P20" s="42">
        <f t="shared" si="7"/>
        <v>300000000</v>
      </c>
      <c r="Q20" s="42">
        <f t="shared" si="7"/>
        <v>430000000</v>
      </c>
      <c r="R20" s="42">
        <f t="shared" si="7"/>
        <v>500000000</v>
      </c>
      <c r="S20" s="42">
        <f t="shared" si="7"/>
        <v>500000000</v>
      </c>
    </row>
    <row r="21" spans="1:19" ht="16.95" customHeight="1" x14ac:dyDescent="0.25">
      <c r="A21" s="52"/>
      <c r="B21" s="52"/>
      <c r="C21" s="52"/>
      <c r="D21" s="54"/>
      <c r="E21" s="52"/>
      <c r="F21" s="11"/>
      <c r="G21" s="7" t="s">
        <v>27</v>
      </c>
      <c r="H21" s="23"/>
      <c r="I21" s="23"/>
      <c r="J21" s="42"/>
      <c r="K21" s="42">
        <f>+K17-K19*8</f>
        <v>122000000</v>
      </c>
      <c r="L21" s="42">
        <f t="shared" ref="L21:S21" si="8">+L17-L19*8</f>
        <v>126000000</v>
      </c>
      <c r="M21" s="42">
        <f t="shared" si="8"/>
        <v>116000000</v>
      </c>
      <c r="N21" s="42">
        <f t="shared" si="8"/>
        <v>109000000</v>
      </c>
      <c r="O21" s="42">
        <f t="shared" si="8"/>
        <v>176000000</v>
      </c>
      <c r="P21" s="42">
        <f t="shared" si="8"/>
        <v>246000000</v>
      </c>
      <c r="Q21" s="42">
        <f t="shared" si="8"/>
        <v>286000000</v>
      </c>
      <c r="R21" s="42">
        <f t="shared" si="8"/>
        <v>320000000</v>
      </c>
      <c r="S21" s="42">
        <f t="shared" si="8"/>
        <v>320000000</v>
      </c>
    </row>
    <row r="22" spans="1:19" ht="16.95" customHeight="1" x14ac:dyDescent="0.25">
      <c r="A22" s="52"/>
      <c r="B22" s="52"/>
      <c r="C22" s="52"/>
      <c r="D22" s="54"/>
      <c r="E22" s="52"/>
      <c r="F22" s="11"/>
      <c r="G22" s="7" t="s">
        <v>24</v>
      </c>
      <c r="H22" s="45">
        <f>(H17-H16)/H16</f>
        <v>-0.17040116274582326</v>
      </c>
      <c r="I22" s="45">
        <f t="shared" ref="I22:R22" si="9">(I17-I16)/I16</f>
        <v>-0.18336539428117066</v>
      </c>
      <c r="J22" s="45">
        <f t="shared" si="9"/>
        <v>2.6865951896866705E-2</v>
      </c>
      <c r="K22" s="45">
        <f t="shared" si="9"/>
        <v>0.38608206001161322</v>
      </c>
      <c r="L22" s="45">
        <f t="shared" si="9"/>
        <v>0.42609392340639562</v>
      </c>
      <c r="M22" s="45">
        <f t="shared" si="9"/>
        <v>0.48447805060239135</v>
      </c>
      <c r="N22" s="45">
        <f t="shared" si="9"/>
        <v>0.61042233487418474</v>
      </c>
      <c r="O22" s="45">
        <f t="shared" si="9"/>
        <v>0.56385842350564264</v>
      </c>
      <c r="P22" s="45">
        <f t="shared" si="9"/>
        <v>0.64014318131663628</v>
      </c>
      <c r="Q22" s="45">
        <f t="shared" si="9"/>
        <v>0.59162489591851508</v>
      </c>
      <c r="R22" s="45">
        <f t="shared" si="9"/>
        <v>0.68144888797139647</v>
      </c>
      <c r="S22" s="45">
        <f>(S17-S16)/S16</f>
        <v>0.68315818576924348</v>
      </c>
    </row>
    <row r="23" spans="1:19" ht="16.95" customHeight="1" x14ac:dyDescent="0.25">
      <c r="A23" s="52"/>
      <c r="B23" s="52"/>
      <c r="C23" s="52"/>
      <c r="D23" s="54"/>
      <c r="E23" s="52"/>
      <c r="F23" s="11"/>
      <c r="G23" s="16" t="s">
        <v>134</v>
      </c>
      <c r="H23" s="24"/>
      <c r="I23" s="24"/>
      <c r="J23" s="43"/>
      <c r="K23" s="43">
        <v>163195557.66999999</v>
      </c>
      <c r="L23" s="43">
        <v>166399628.59</v>
      </c>
      <c r="M23" s="43">
        <v>118372604.20999999</v>
      </c>
      <c r="N23" s="43">
        <v>92507120.489999995</v>
      </c>
      <c r="O23" s="43"/>
      <c r="P23" s="43"/>
      <c r="Q23" s="43"/>
      <c r="R23" s="43"/>
      <c r="S23" s="43"/>
    </row>
    <row r="24" spans="1:19" s="20" customFormat="1" ht="16.95" customHeight="1" x14ac:dyDescent="0.25">
      <c r="A24" s="53"/>
      <c r="B24" s="53"/>
      <c r="C24" s="53"/>
      <c r="D24" s="55"/>
      <c r="E24" s="53"/>
      <c r="F24" s="15"/>
      <c r="G24" s="18" t="s">
        <v>135</v>
      </c>
      <c r="H24" s="19"/>
      <c r="I24" s="19"/>
      <c r="J24" s="19"/>
      <c r="K24" s="19">
        <f>IFERROR(K23/K17,"")</f>
        <v>1.0879703844666666</v>
      </c>
      <c r="L24" s="19">
        <f>IFERROR(L23/L17,"")</f>
        <v>1.1093308572666667</v>
      </c>
      <c r="M24" s="19">
        <f>IFERROR(M23/M17,"")</f>
        <v>0.84551860149999991</v>
      </c>
      <c r="N24" s="19">
        <f>IFERROR(N23/N17,"")</f>
        <v>0.74005696391999998</v>
      </c>
      <c r="O24" s="19"/>
      <c r="P24" s="19"/>
      <c r="Q24" s="19"/>
      <c r="R24" s="19"/>
      <c r="S24" s="19"/>
    </row>
    <row r="25" spans="1:19" ht="16.95" customHeight="1" x14ac:dyDescent="0.25">
      <c r="A25" s="52" t="s">
        <v>18</v>
      </c>
      <c r="B25" s="52" t="s">
        <v>34</v>
      </c>
      <c r="C25" s="52" t="s">
        <v>35</v>
      </c>
      <c r="D25" s="54">
        <v>0.2</v>
      </c>
      <c r="E25" s="56" t="s">
        <v>36</v>
      </c>
      <c r="F25" s="52" t="s">
        <v>136</v>
      </c>
      <c r="G25" s="7" t="s">
        <v>22</v>
      </c>
      <c r="H25" s="15">
        <v>4.1068743416096801E-2</v>
      </c>
      <c r="I25" s="15">
        <v>3.2515152248275898E-2</v>
      </c>
      <c r="J25" s="15">
        <v>2.78493681203867E-2</v>
      </c>
      <c r="K25" s="15">
        <v>3.92986316032264E-2</v>
      </c>
      <c r="L25" s="15">
        <v>4.3515134047420002E-2</v>
      </c>
      <c r="M25" s="15">
        <v>5.2079630875638203E-2</v>
      </c>
      <c r="N25" s="15">
        <v>6.6956780613880995E-2</v>
      </c>
      <c r="O25" s="15">
        <v>4.3364562228826203E-2</v>
      </c>
      <c r="P25" s="15">
        <v>3.8878764056666203E-2</v>
      </c>
      <c r="Q25" s="15">
        <v>4.0451836216933802E-2</v>
      </c>
      <c r="R25" s="15">
        <v>4.2033293004704403E-2</v>
      </c>
      <c r="S25" s="15">
        <v>4.3738859499239599E-2</v>
      </c>
    </row>
    <row r="26" spans="1:19" ht="16.95" customHeight="1" x14ac:dyDescent="0.25">
      <c r="A26" s="52"/>
      <c r="B26" s="52"/>
      <c r="C26" s="52"/>
      <c r="D26" s="54"/>
      <c r="E26" s="52"/>
      <c r="F26" s="52"/>
      <c r="G26" s="7" t="s">
        <v>23</v>
      </c>
      <c r="H26" s="15">
        <v>7.2497200952876997E-2</v>
      </c>
      <c r="I26" s="15">
        <v>5.0723849947621399E-2</v>
      </c>
      <c r="J26" s="15">
        <v>2.8213808722048699E-2</v>
      </c>
      <c r="K26" s="15">
        <v>2.07565647195272E-2</v>
      </c>
      <c r="L26" s="15">
        <v>2.7708642494478401E-2</v>
      </c>
      <c r="M26" s="15">
        <v>3.2763565117319302E-2</v>
      </c>
      <c r="N26" s="15">
        <v>3.98328395962399E-2</v>
      </c>
      <c r="O26" s="15">
        <v>3.2186928703886397E-2</v>
      </c>
      <c r="P26" s="15">
        <v>2.7517169222015199E-2</v>
      </c>
      <c r="Q26" s="15">
        <v>2.6602660555853301E-2</v>
      </c>
      <c r="R26" s="15">
        <v>2.48447607570953E-2</v>
      </c>
      <c r="S26" s="15">
        <v>2.4842861728953301E-2</v>
      </c>
    </row>
    <row r="27" spans="1:19" ht="16.95" customHeight="1" x14ac:dyDescent="0.25">
      <c r="A27" s="52"/>
      <c r="B27" s="52"/>
      <c r="C27" s="52"/>
      <c r="D27" s="54"/>
      <c r="E27" s="52"/>
      <c r="F27" s="52"/>
      <c r="G27" s="7" t="s">
        <v>26</v>
      </c>
      <c r="H27" s="15"/>
      <c r="I27" s="15"/>
      <c r="J27" s="15"/>
      <c r="K27" s="15">
        <f>+K26*(1-3%*10)</f>
        <v>1.4529595303669039E-2</v>
      </c>
      <c r="L27" s="15">
        <f t="shared" ref="L27:S27" si="10">+L26*(1-3%*10)</f>
        <v>1.9396049746134878E-2</v>
      </c>
      <c r="M27" s="15">
        <f t="shared" si="10"/>
        <v>2.2934495582123508E-2</v>
      </c>
      <c r="N27" s="15">
        <f t="shared" si="10"/>
        <v>2.7882987717367927E-2</v>
      </c>
      <c r="O27" s="15">
        <f t="shared" si="10"/>
        <v>2.2530850092720475E-2</v>
      </c>
      <c r="P27" s="15">
        <f t="shared" si="10"/>
        <v>1.9262018455410639E-2</v>
      </c>
      <c r="Q27" s="15">
        <f t="shared" si="10"/>
        <v>1.8621862389097309E-2</v>
      </c>
      <c r="R27" s="15">
        <f t="shared" si="10"/>
        <v>1.7391332529966708E-2</v>
      </c>
      <c r="S27" s="15">
        <f t="shared" si="10"/>
        <v>1.7390003210267308E-2</v>
      </c>
    </row>
    <row r="28" spans="1:19" ht="16.95" customHeight="1" x14ac:dyDescent="0.25">
      <c r="A28" s="52"/>
      <c r="B28" s="52"/>
      <c r="C28" s="52"/>
      <c r="D28" s="54"/>
      <c r="E28" s="52"/>
      <c r="F28" s="52"/>
      <c r="G28" s="7" t="s">
        <v>27</v>
      </c>
      <c r="H28" s="15"/>
      <c r="I28" s="15"/>
      <c r="J28" s="15"/>
      <c r="K28" s="15">
        <f>+K26*(1+3%*8)</f>
        <v>2.5738140252213729E-2</v>
      </c>
      <c r="L28" s="15">
        <f t="shared" ref="L28:S28" si="11">+L26*(1+3%*8)</f>
        <v>3.435871669315322E-2</v>
      </c>
      <c r="M28" s="15">
        <f t="shared" si="11"/>
        <v>4.0626820745475932E-2</v>
      </c>
      <c r="N28" s="15">
        <f t="shared" si="11"/>
        <v>4.9392721099337476E-2</v>
      </c>
      <c r="O28" s="15">
        <f t="shared" si="11"/>
        <v>3.9911791592819129E-2</v>
      </c>
      <c r="P28" s="15">
        <f t="shared" si="11"/>
        <v>3.4121289835298843E-2</v>
      </c>
      <c r="Q28" s="15">
        <f t="shared" si="11"/>
        <v>3.2987299089258092E-2</v>
      </c>
      <c r="R28" s="15">
        <f t="shared" si="11"/>
        <v>3.0807503338798174E-2</v>
      </c>
      <c r="S28" s="15">
        <f t="shared" si="11"/>
        <v>3.0805148543902094E-2</v>
      </c>
    </row>
    <row r="29" spans="1:19" ht="16.95" customHeight="1" x14ac:dyDescent="0.25">
      <c r="A29" s="52"/>
      <c r="B29" s="52"/>
      <c r="C29" s="52"/>
      <c r="D29" s="54"/>
      <c r="E29" s="52"/>
      <c r="F29" s="52"/>
      <c r="G29" s="7" t="s">
        <v>24</v>
      </c>
      <c r="H29" s="45">
        <f>(H26-H25)/H25</f>
        <v>0.7652646495256995</v>
      </c>
      <c r="I29" s="45">
        <f t="shared" ref="I29:S29" si="12">(I26-I25)/I25</f>
        <v>0.56000653357884889</v>
      </c>
      <c r="J29" s="45">
        <f t="shared" si="12"/>
        <v>1.3086135386864145E-2</v>
      </c>
      <c r="K29" s="45">
        <f t="shared" si="12"/>
        <v>-0.47182474623815923</v>
      </c>
      <c r="L29" s="45">
        <f t="shared" si="12"/>
        <v>-0.36324124695828125</v>
      </c>
      <c r="M29" s="45">
        <f t="shared" si="12"/>
        <v>-0.37089482843002569</v>
      </c>
      <c r="N29" s="45">
        <f t="shared" si="12"/>
        <v>-0.40509625416515255</v>
      </c>
      <c r="O29" s="45">
        <f t="shared" si="12"/>
        <v>-0.25775963022427506</v>
      </c>
      <c r="P29" s="45">
        <f t="shared" si="12"/>
        <v>-0.29223137901429586</v>
      </c>
      <c r="Q29" s="45">
        <f t="shared" si="12"/>
        <v>-0.34236210160672531</v>
      </c>
      <c r="R29" s="45">
        <f t="shared" si="12"/>
        <v>-0.40892661552082887</v>
      </c>
      <c r="S29" s="45">
        <f t="shared" si="12"/>
        <v>-0.43201852966959059</v>
      </c>
    </row>
    <row r="30" spans="1:19" ht="16.95" customHeight="1" x14ac:dyDescent="0.25">
      <c r="A30" s="52"/>
      <c r="B30" s="52"/>
      <c r="C30" s="52"/>
      <c r="D30" s="54"/>
      <c r="E30" s="52"/>
      <c r="F30" s="52"/>
      <c r="G30" s="16" t="s">
        <v>134</v>
      </c>
      <c r="H30" s="19"/>
      <c r="I30" s="19"/>
      <c r="J30" s="19"/>
      <c r="K30" s="19">
        <v>2.9393849999999999E-2</v>
      </c>
      <c r="L30" s="19">
        <v>2.84514141981301E-2</v>
      </c>
      <c r="M30" s="19">
        <v>3.8389069999999997E-2</v>
      </c>
      <c r="N30" s="19"/>
      <c r="O30" s="19"/>
      <c r="P30" s="19"/>
      <c r="Q30" s="19"/>
      <c r="R30" s="19"/>
      <c r="S30" s="19"/>
    </row>
    <row r="31" spans="1:19" ht="16.95" customHeight="1" x14ac:dyDescent="0.25">
      <c r="A31" s="52"/>
      <c r="B31" s="52"/>
      <c r="C31" s="52"/>
      <c r="D31" s="54"/>
      <c r="E31" s="52"/>
      <c r="F31" s="52"/>
      <c r="G31" s="18" t="s">
        <v>135</v>
      </c>
      <c r="H31" s="22"/>
      <c r="I31" s="22"/>
      <c r="J31" s="22"/>
      <c r="K31" s="19">
        <f>IFERROR(2-K30/K26,"")</f>
        <v>0.58387693738419633</v>
      </c>
      <c r="L31" s="19">
        <f>IFERROR(2-L30/L26,"")</f>
        <v>0.97319350077147537</v>
      </c>
      <c r="M31" s="19">
        <f>IFERROR(2-M30/M26,"")</f>
        <v>0.82829997704654645</v>
      </c>
      <c r="N31" s="22"/>
      <c r="O31" s="22"/>
      <c r="P31" s="22"/>
      <c r="Q31" s="22"/>
      <c r="R31" s="22"/>
      <c r="S31" s="22"/>
    </row>
    <row r="32" spans="1:19" ht="16.95" customHeight="1" x14ac:dyDescent="0.25">
      <c r="A32" s="52" t="s">
        <v>37</v>
      </c>
      <c r="B32" s="52" t="s">
        <v>28</v>
      </c>
      <c r="C32" s="52" t="s">
        <v>38</v>
      </c>
      <c r="D32" s="54">
        <v>0.4</v>
      </c>
      <c r="E32" s="52" t="s">
        <v>30</v>
      </c>
      <c r="F32" s="21"/>
      <c r="G32" s="7" t="s">
        <v>22</v>
      </c>
      <c r="H32" s="42">
        <v>108027668.2</v>
      </c>
      <c r="I32" s="42">
        <v>78275399.489999995</v>
      </c>
      <c r="J32" s="42">
        <v>121729617.94</v>
      </c>
      <c r="K32" s="42">
        <v>108218700.98999999</v>
      </c>
      <c r="L32" s="42">
        <v>105182412.98</v>
      </c>
      <c r="M32" s="42">
        <v>94309242.189999998</v>
      </c>
      <c r="N32" s="42">
        <v>77619390.450000003</v>
      </c>
      <c r="O32" s="42">
        <v>127888814.61</v>
      </c>
      <c r="P32" s="42">
        <v>164619774.09999999</v>
      </c>
      <c r="Q32" s="42">
        <v>219901058.91</v>
      </c>
      <c r="R32" s="42">
        <v>237890073.77000001</v>
      </c>
      <c r="S32" s="42">
        <v>237648489.24000001</v>
      </c>
    </row>
    <row r="33" spans="1:19" ht="16.95" customHeight="1" x14ac:dyDescent="0.25">
      <c r="A33" s="52"/>
      <c r="B33" s="52"/>
      <c r="C33" s="52"/>
      <c r="D33" s="54"/>
      <c r="E33" s="52"/>
      <c r="F33" s="11"/>
      <c r="G33" s="7" t="s">
        <v>31</v>
      </c>
      <c r="H33" s="42">
        <v>89619627.930000007</v>
      </c>
      <c r="I33" s="42">
        <v>63922400</v>
      </c>
      <c r="J33" s="42">
        <v>125000000</v>
      </c>
      <c r="K33" s="42">
        <v>150000000</v>
      </c>
      <c r="L33" s="42">
        <v>150000000</v>
      </c>
      <c r="M33" s="42">
        <v>140000000</v>
      </c>
      <c r="N33" s="42">
        <v>125000000</v>
      </c>
      <c r="O33" s="42">
        <v>200000000</v>
      </c>
      <c r="P33" s="42">
        <v>270000000</v>
      </c>
      <c r="Q33" s="42">
        <v>350000000</v>
      </c>
      <c r="R33" s="42">
        <v>400000000</v>
      </c>
      <c r="S33" s="42">
        <v>400000000</v>
      </c>
    </row>
    <row r="34" spans="1:19" ht="16.95" customHeight="1" x14ac:dyDescent="0.25">
      <c r="A34" s="52"/>
      <c r="B34" s="52"/>
      <c r="C34" s="52"/>
      <c r="D34" s="54"/>
      <c r="E34" s="52"/>
      <c r="F34" s="11"/>
      <c r="G34" s="7" t="s">
        <v>32</v>
      </c>
      <c r="H34" s="42">
        <v>89619627.930000007</v>
      </c>
      <c r="I34" s="42">
        <v>63922400</v>
      </c>
      <c r="J34" s="42">
        <v>140000000</v>
      </c>
      <c r="K34" s="42">
        <v>185000000</v>
      </c>
      <c r="L34" s="42">
        <v>180000000</v>
      </c>
      <c r="M34" s="42">
        <v>170000000</v>
      </c>
      <c r="N34" s="42">
        <v>145000000</v>
      </c>
      <c r="O34" s="42">
        <v>230000000</v>
      </c>
      <c r="P34" s="42">
        <v>300000000</v>
      </c>
      <c r="Q34" s="42">
        <v>430000000</v>
      </c>
      <c r="R34" s="42">
        <v>500000000</v>
      </c>
      <c r="S34" s="42">
        <v>500000000</v>
      </c>
    </row>
    <row r="35" spans="1:19" ht="16.95" customHeight="1" x14ac:dyDescent="0.25">
      <c r="A35" s="52"/>
      <c r="B35" s="52"/>
      <c r="C35" s="52"/>
      <c r="D35" s="54"/>
      <c r="E35" s="52"/>
      <c r="F35" s="11"/>
      <c r="G35" s="7" t="s">
        <v>33</v>
      </c>
      <c r="H35" s="23"/>
      <c r="I35" s="23"/>
      <c r="J35" s="42"/>
      <c r="K35" s="42">
        <f t="shared" ref="K35:S35" si="13">(K34-K33)/10</f>
        <v>3500000</v>
      </c>
      <c r="L35" s="42">
        <f t="shared" si="13"/>
        <v>3000000</v>
      </c>
      <c r="M35" s="42">
        <f t="shared" si="13"/>
        <v>3000000</v>
      </c>
      <c r="N35" s="42">
        <f t="shared" si="13"/>
        <v>2000000</v>
      </c>
      <c r="O35" s="42">
        <f t="shared" si="13"/>
        <v>3000000</v>
      </c>
      <c r="P35" s="42">
        <f t="shared" si="13"/>
        <v>3000000</v>
      </c>
      <c r="Q35" s="42">
        <f t="shared" si="13"/>
        <v>8000000</v>
      </c>
      <c r="R35" s="42">
        <f t="shared" si="13"/>
        <v>10000000</v>
      </c>
      <c r="S35" s="42">
        <f t="shared" si="13"/>
        <v>10000000</v>
      </c>
    </row>
    <row r="36" spans="1:19" ht="16.95" customHeight="1" x14ac:dyDescent="0.25">
      <c r="A36" s="52"/>
      <c r="B36" s="52"/>
      <c r="C36" s="52"/>
      <c r="D36" s="54"/>
      <c r="E36" s="52"/>
      <c r="F36" s="11"/>
      <c r="G36" s="7" t="s">
        <v>26</v>
      </c>
      <c r="H36" s="23"/>
      <c r="I36" s="23"/>
      <c r="J36" s="42"/>
      <c r="K36" s="42">
        <f>+K33+K35*10</f>
        <v>185000000</v>
      </c>
      <c r="L36" s="42">
        <f t="shared" ref="L36:S36" si="14">+L33+L35*10</f>
        <v>180000000</v>
      </c>
      <c r="M36" s="42">
        <f t="shared" si="14"/>
        <v>170000000</v>
      </c>
      <c r="N36" s="42">
        <f t="shared" si="14"/>
        <v>145000000</v>
      </c>
      <c r="O36" s="42">
        <f t="shared" si="14"/>
        <v>230000000</v>
      </c>
      <c r="P36" s="42">
        <f t="shared" si="14"/>
        <v>300000000</v>
      </c>
      <c r="Q36" s="42">
        <f t="shared" si="14"/>
        <v>430000000</v>
      </c>
      <c r="R36" s="42">
        <f t="shared" si="14"/>
        <v>500000000</v>
      </c>
      <c r="S36" s="42">
        <f t="shared" si="14"/>
        <v>500000000</v>
      </c>
    </row>
    <row r="37" spans="1:19" ht="16.95" customHeight="1" x14ac:dyDescent="0.25">
      <c r="A37" s="52"/>
      <c r="B37" s="52"/>
      <c r="C37" s="52"/>
      <c r="D37" s="54"/>
      <c r="E37" s="52"/>
      <c r="F37" s="11"/>
      <c r="G37" s="7" t="s">
        <v>27</v>
      </c>
      <c r="H37" s="23"/>
      <c r="I37" s="23"/>
      <c r="J37" s="42"/>
      <c r="K37" s="42">
        <f>+K33-K35*8</f>
        <v>122000000</v>
      </c>
      <c r="L37" s="42">
        <f t="shared" ref="L37:S37" si="15">+L33-L35*8</f>
        <v>126000000</v>
      </c>
      <c r="M37" s="42">
        <f t="shared" si="15"/>
        <v>116000000</v>
      </c>
      <c r="N37" s="42">
        <f t="shared" si="15"/>
        <v>109000000</v>
      </c>
      <c r="O37" s="42">
        <f t="shared" si="15"/>
        <v>176000000</v>
      </c>
      <c r="P37" s="42">
        <f t="shared" si="15"/>
        <v>246000000</v>
      </c>
      <c r="Q37" s="42">
        <f t="shared" si="15"/>
        <v>286000000</v>
      </c>
      <c r="R37" s="42">
        <f t="shared" si="15"/>
        <v>320000000</v>
      </c>
      <c r="S37" s="42">
        <f t="shared" si="15"/>
        <v>320000000</v>
      </c>
    </row>
    <row r="38" spans="1:19" ht="16.95" customHeight="1" x14ac:dyDescent="0.25">
      <c r="A38" s="52"/>
      <c r="B38" s="52"/>
      <c r="C38" s="52"/>
      <c r="D38" s="54"/>
      <c r="E38" s="52"/>
      <c r="F38" s="11"/>
      <c r="G38" s="7" t="s">
        <v>24</v>
      </c>
      <c r="H38" s="45">
        <f>(H33-H32)/H32</f>
        <v>-0.17040116274582326</v>
      </c>
      <c r="I38" s="45">
        <f t="shared" ref="I38:R38" si="16">(I33-I32)/I32</f>
        <v>-0.18336539428117066</v>
      </c>
      <c r="J38" s="45">
        <f t="shared" si="16"/>
        <v>2.6865951896866705E-2</v>
      </c>
      <c r="K38" s="45">
        <f t="shared" si="16"/>
        <v>0.38608206001161322</v>
      </c>
      <c r="L38" s="45">
        <f t="shared" si="16"/>
        <v>0.42609392340639562</v>
      </c>
      <c r="M38" s="45">
        <f t="shared" si="16"/>
        <v>0.48447805060239135</v>
      </c>
      <c r="N38" s="45">
        <f t="shared" si="16"/>
        <v>0.61042233487418474</v>
      </c>
      <c r="O38" s="45">
        <f t="shared" si="16"/>
        <v>0.56385842350564264</v>
      </c>
      <c r="P38" s="45">
        <f t="shared" si="16"/>
        <v>0.64014318131663628</v>
      </c>
      <c r="Q38" s="45">
        <f t="shared" si="16"/>
        <v>0.59162489591851508</v>
      </c>
      <c r="R38" s="45">
        <f t="shared" si="16"/>
        <v>0.68144888797139647</v>
      </c>
      <c r="S38" s="45">
        <f>(S33-S32)/S32</f>
        <v>0.68315818576924348</v>
      </c>
    </row>
    <row r="39" spans="1:19" ht="16.95" customHeight="1" x14ac:dyDescent="0.25">
      <c r="A39" s="52"/>
      <c r="B39" s="52"/>
      <c r="C39" s="52"/>
      <c r="D39" s="54"/>
      <c r="E39" s="52"/>
      <c r="F39" s="11"/>
      <c r="G39" s="16" t="s">
        <v>134</v>
      </c>
      <c r="H39" s="24"/>
      <c r="I39" s="24"/>
      <c r="J39" s="43"/>
      <c r="K39" s="43">
        <v>163195557.66999999</v>
      </c>
      <c r="L39" s="43">
        <v>166399628.59</v>
      </c>
      <c r="M39" s="43">
        <v>118372604.20999999</v>
      </c>
      <c r="N39" s="43">
        <v>92507120.489999995</v>
      </c>
      <c r="O39" s="43"/>
      <c r="P39" s="43"/>
      <c r="Q39" s="43"/>
      <c r="R39" s="43"/>
      <c r="S39" s="43"/>
    </row>
    <row r="40" spans="1:19" ht="16.95" customHeight="1" x14ac:dyDescent="0.25">
      <c r="A40" s="52"/>
      <c r="B40" s="52"/>
      <c r="C40" s="52"/>
      <c r="D40" s="54"/>
      <c r="E40" s="52"/>
      <c r="F40" s="11"/>
      <c r="G40" s="18" t="s">
        <v>135</v>
      </c>
      <c r="H40" s="22"/>
      <c r="I40" s="22"/>
      <c r="J40" s="22"/>
      <c r="K40" s="19">
        <f>IFERROR(K39/K33,"")</f>
        <v>1.0879703844666666</v>
      </c>
      <c r="L40" s="19">
        <f>IFERROR(L39/L33,"")</f>
        <v>1.1093308572666667</v>
      </c>
      <c r="M40" s="19">
        <f>IFERROR(M39/M33,"")</f>
        <v>0.84551860149999991</v>
      </c>
      <c r="N40" s="19">
        <f>IFERROR(N39/N33,"")</f>
        <v>0.74005696391999998</v>
      </c>
      <c r="O40" s="22"/>
      <c r="P40" s="22"/>
      <c r="Q40" s="22"/>
      <c r="R40" s="22"/>
      <c r="S40" s="22"/>
    </row>
    <row r="41" spans="1:19" s="20" customFormat="1" ht="16.95" customHeight="1" x14ac:dyDescent="0.25">
      <c r="A41" s="53" t="s">
        <v>37</v>
      </c>
      <c r="B41" s="53" t="s">
        <v>39</v>
      </c>
      <c r="C41" s="53" t="s">
        <v>40</v>
      </c>
      <c r="D41" s="54">
        <v>0.2</v>
      </c>
      <c r="E41" s="53" t="s">
        <v>41</v>
      </c>
      <c r="F41" s="15"/>
      <c r="G41" s="25" t="s">
        <v>22</v>
      </c>
      <c r="H41" s="4">
        <v>0.29993589839149698</v>
      </c>
      <c r="I41" s="4">
        <v>0.27953835256864301</v>
      </c>
      <c r="J41" s="4">
        <v>0.31077164768381699</v>
      </c>
      <c r="K41" s="4">
        <v>0.38554400011837903</v>
      </c>
      <c r="L41" s="4">
        <v>0.41538289690383201</v>
      </c>
      <c r="M41" s="4">
        <v>0.38019110222527303</v>
      </c>
      <c r="N41" s="4">
        <v>0.29765614117405598</v>
      </c>
      <c r="O41" s="4">
        <v>0.30668587320074198</v>
      </c>
      <c r="P41" s="4">
        <v>0.36473192793228698</v>
      </c>
      <c r="Q41" s="4">
        <v>0.3578240305989</v>
      </c>
      <c r="R41" s="4">
        <v>0.38283993530573401</v>
      </c>
      <c r="S41" s="4">
        <v>0.35552502390307</v>
      </c>
    </row>
    <row r="42" spans="1:19" s="20" customFormat="1" ht="16.95" customHeight="1" x14ac:dyDescent="0.25">
      <c r="A42" s="53"/>
      <c r="B42" s="53"/>
      <c r="C42" s="53"/>
      <c r="D42" s="54"/>
      <c r="E42" s="53"/>
      <c r="F42" s="15"/>
      <c r="G42" s="25" t="s">
        <v>23</v>
      </c>
      <c r="H42" s="4">
        <v>0.175843004256973</v>
      </c>
      <c r="I42" s="4">
        <v>0.15686609225866899</v>
      </c>
      <c r="J42" s="4">
        <v>0.2</v>
      </c>
      <c r="K42" s="4">
        <v>0.24</v>
      </c>
      <c r="L42" s="4">
        <v>0.31</v>
      </c>
      <c r="M42" s="4">
        <v>0.28000000000000003</v>
      </c>
      <c r="N42" s="4">
        <v>0.22</v>
      </c>
      <c r="O42" s="4">
        <v>0.28999999999999998</v>
      </c>
      <c r="P42" s="4">
        <v>0.32</v>
      </c>
      <c r="Q42" s="4">
        <v>0.33</v>
      </c>
      <c r="R42" s="4">
        <v>0.28999999999999998</v>
      </c>
      <c r="S42" s="4">
        <v>0.25</v>
      </c>
    </row>
    <row r="43" spans="1:19" s="20" customFormat="1" ht="16.95" customHeight="1" x14ac:dyDescent="0.25">
      <c r="A43" s="53"/>
      <c r="B43" s="53"/>
      <c r="C43" s="53"/>
      <c r="D43" s="54"/>
      <c r="E43" s="53"/>
      <c r="F43" s="15"/>
      <c r="G43" s="25" t="s">
        <v>26</v>
      </c>
      <c r="H43" s="4">
        <f>+H42+2.5%</f>
        <v>0.20084300425697299</v>
      </c>
      <c r="I43" s="4">
        <f t="shared" ref="I43:S43" si="17">+I42+2.5%</f>
        <v>0.18186609225866898</v>
      </c>
      <c r="J43" s="4">
        <f t="shared" si="17"/>
        <v>0.22500000000000001</v>
      </c>
      <c r="K43" s="4">
        <f t="shared" si="17"/>
        <v>0.26500000000000001</v>
      </c>
      <c r="L43" s="4">
        <f t="shared" si="17"/>
        <v>0.33500000000000002</v>
      </c>
      <c r="M43" s="4">
        <f t="shared" si="17"/>
        <v>0.30500000000000005</v>
      </c>
      <c r="N43" s="4">
        <f t="shared" si="17"/>
        <v>0.245</v>
      </c>
      <c r="O43" s="4">
        <f t="shared" si="17"/>
        <v>0.315</v>
      </c>
      <c r="P43" s="4">
        <f t="shared" si="17"/>
        <v>0.34500000000000003</v>
      </c>
      <c r="Q43" s="4">
        <f t="shared" si="17"/>
        <v>0.35500000000000004</v>
      </c>
      <c r="R43" s="4">
        <f t="shared" si="17"/>
        <v>0.315</v>
      </c>
      <c r="S43" s="4">
        <f t="shared" si="17"/>
        <v>0.27500000000000002</v>
      </c>
    </row>
    <row r="44" spans="1:19" s="20" customFormat="1" ht="16.95" customHeight="1" x14ac:dyDescent="0.25">
      <c r="A44" s="53"/>
      <c r="B44" s="53"/>
      <c r="C44" s="53"/>
      <c r="D44" s="54"/>
      <c r="E44" s="53"/>
      <c r="F44" s="15"/>
      <c r="G44" s="25" t="s">
        <v>27</v>
      </c>
      <c r="H44" s="4">
        <f>+H42-2%</f>
        <v>0.15584300425697301</v>
      </c>
      <c r="I44" s="4">
        <f t="shared" ref="I44:S44" si="18">+I42-2%</f>
        <v>0.136866092258669</v>
      </c>
      <c r="J44" s="4">
        <f t="shared" si="18"/>
        <v>0.18000000000000002</v>
      </c>
      <c r="K44" s="4">
        <f t="shared" si="18"/>
        <v>0.22</v>
      </c>
      <c r="L44" s="4">
        <f t="shared" si="18"/>
        <v>0.28999999999999998</v>
      </c>
      <c r="M44" s="4">
        <f t="shared" si="18"/>
        <v>0.26</v>
      </c>
      <c r="N44" s="4">
        <f t="shared" si="18"/>
        <v>0.2</v>
      </c>
      <c r="O44" s="4">
        <f t="shared" si="18"/>
        <v>0.26999999999999996</v>
      </c>
      <c r="P44" s="4">
        <f t="shared" si="18"/>
        <v>0.3</v>
      </c>
      <c r="Q44" s="4">
        <f t="shared" si="18"/>
        <v>0.31</v>
      </c>
      <c r="R44" s="4">
        <f t="shared" si="18"/>
        <v>0.26999999999999996</v>
      </c>
      <c r="S44" s="4">
        <f t="shared" si="18"/>
        <v>0.23</v>
      </c>
    </row>
    <row r="45" spans="1:19" s="20" customFormat="1" ht="16.95" customHeight="1" x14ac:dyDescent="0.25">
      <c r="A45" s="53"/>
      <c r="B45" s="53"/>
      <c r="C45" s="53"/>
      <c r="D45" s="54"/>
      <c r="E45" s="53"/>
      <c r="F45" s="15"/>
      <c r="G45" s="25" t="s">
        <v>24</v>
      </c>
      <c r="H45" s="45">
        <f>(H42-H41)/H41</f>
        <v>-0.41373138327226638</v>
      </c>
      <c r="I45" s="45">
        <f t="shared" ref="I45:S45" si="19">(I42-I41)/I41</f>
        <v>-0.43883874675068357</v>
      </c>
      <c r="J45" s="45">
        <f t="shared" si="19"/>
        <v>-0.35644064865440189</v>
      </c>
      <c r="K45" s="45">
        <f t="shared" si="19"/>
        <v>-0.37750295705208903</v>
      </c>
      <c r="L45" s="45">
        <f t="shared" si="19"/>
        <v>-0.25370061620093592</v>
      </c>
      <c r="M45" s="45">
        <f t="shared" si="19"/>
        <v>-0.26352826680806218</v>
      </c>
      <c r="N45" s="45">
        <f t="shared" si="19"/>
        <v>-0.26089211822660208</v>
      </c>
      <c r="O45" s="45">
        <f t="shared" si="19"/>
        <v>-5.4407048575792136E-2</v>
      </c>
      <c r="P45" s="45">
        <f t="shared" si="19"/>
        <v>-0.12264330185152182</v>
      </c>
      <c r="Q45" s="45">
        <f t="shared" si="19"/>
        <v>-7.7758977093657269E-2</v>
      </c>
      <c r="R45" s="45">
        <f t="shared" si="19"/>
        <v>-0.2425032676687518</v>
      </c>
      <c r="S45" s="45">
        <f t="shared" si="19"/>
        <v>-0.29681461727948649</v>
      </c>
    </row>
    <row r="46" spans="1:19" s="20" customFormat="1" ht="16.95" customHeight="1" x14ac:dyDescent="0.25">
      <c r="A46" s="53"/>
      <c r="B46" s="53"/>
      <c r="C46" s="53"/>
      <c r="D46" s="54"/>
      <c r="E46" s="53"/>
      <c r="F46" s="15"/>
      <c r="G46" s="16" t="s">
        <v>134</v>
      </c>
      <c r="H46" s="26"/>
      <c r="I46" s="26"/>
      <c r="J46" s="26"/>
      <c r="K46" s="26">
        <v>0.27928160000000002</v>
      </c>
      <c r="L46" s="26">
        <v>0.313</v>
      </c>
      <c r="M46" s="26">
        <v>0.21540000000000001</v>
      </c>
      <c r="N46" s="26">
        <v>0.16120000000000001</v>
      </c>
      <c r="O46" s="26"/>
      <c r="P46" s="26"/>
      <c r="Q46" s="26"/>
      <c r="R46" s="26"/>
      <c r="S46" s="26"/>
    </row>
    <row r="47" spans="1:19" s="20" customFormat="1" ht="16.95" customHeight="1" x14ac:dyDescent="0.25">
      <c r="A47" s="53"/>
      <c r="B47" s="53"/>
      <c r="C47" s="53"/>
      <c r="D47" s="54"/>
      <c r="E47" s="53"/>
      <c r="F47" s="15"/>
      <c r="G47" s="18" t="s">
        <v>135</v>
      </c>
      <c r="H47" s="19"/>
      <c r="I47" s="19"/>
      <c r="J47" s="19"/>
      <c r="K47" s="19">
        <f>IFERROR(K46/K42,"")</f>
        <v>1.1636733333333336</v>
      </c>
      <c r="L47" s="19">
        <f>IFERROR(L46/L42,"")</f>
        <v>1.0096774193548388</v>
      </c>
      <c r="M47" s="19">
        <f>IFERROR(M46/M42,"")</f>
        <v>0.76928571428571424</v>
      </c>
      <c r="N47" s="19">
        <f>IFERROR(N46/N42,"")</f>
        <v>0.73272727272727278</v>
      </c>
      <c r="O47" s="19"/>
      <c r="P47" s="19"/>
      <c r="Q47" s="19"/>
      <c r="R47" s="19"/>
      <c r="S47" s="19"/>
    </row>
    <row r="48" spans="1:19" ht="16.95" customHeight="1" x14ac:dyDescent="0.25">
      <c r="A48" s="52" t="s">
        <v>37</v>
      </c>
      <c r="B48" s="52" t="s">
        <v>42</v>
      </c>
      <c r="C48" s="52" t="s">
        <v>43</v>
      </c>
      <c r="D48" s="54">
        <v>0.3</v>
      </c>
      <c r="E48" s="52" t="s">
        <v>44</v>
      </c>
      <c r="F48" s="11"/>
      <c r="G48" s="7" t="s">
        <v>22</v>
      </c>
      <c r="H48" s="11" t="s">
        <v>45</v>
      </c>
      <c r="I48" s="11"/>
      <c r="J48" s="11"/>
      <c r="K48" s="11"/>
      <c r="L48" s="11"/>
      <c r="M48" s="11"/>
      <c r="N48" s="11"/>
      <c r="O48" s="11"/>
      <c r="P48" s="11"/>
      <c r="Q48" s="11"/>
      <c r="R48" s="21"/>
      <c r="S48" s="11"/>
    </row>
    <row r="49" spans="1:19" ht="16.95" customHeight="1" x14ac:dyDescent="0.25">
      <c r="A49" s="52"/>
      <c r="B49" s="52"/>
      <c r="C49" s="52"/>
      <c r="D49" s="54"/>
      <c r="E49" s="52"/>
      <c r="F49" s="11"/>
      <c r="G49" s="7" t="s">
        <v>23</v>
      </c>
      <c r="H49" s="21"/>
      <c r="I49" s="21"/>
      <c r="J49" s="21"/>
      <c r="K49" s="21"/>
      <c r="L49" s="45">
        <v>0.85</v>
      </c>
      <c r="M49" s="45">
        <v>0.87</v>
      </c>
      <c r="N49" s="45">
        <v>0.89</v>
      </c>
      <c r="O49" s="45">
        <v>0.9</v>
      </c>
      <c r="P49" s="45">
        <v>0.9</v>
      </c>
      <c r="Q49" s="45">
        <v>0.91</v>
      </c>
      <c r="R49" s="45">
        <v>0.91</v>
      </c>
      <c r="S49" s="45">
        <v>0.91</v>
      </c>
    </row>
    <row r="50" spans="1:19" ht="16.95" customHeight="1" x14ac:dyDescent="0.25">
      <c r="A50" s="52"/>
      <c r="B50" s="52"/>
      <c r="C50" s="52"/>
      <c r="D50" s="54"/>
      <c r="E50" s="52"/>
      <c r="F50" s="11"/>
      <c r="G50" s="7" t="s">
        <v>26</v>
      </c>
      <c r="H50" s="21"/>
      <c r="I50" s="21"/>
      <c r="J50" s="21"/>
      <c r="K50" s="21"/>
      <c r="L50" s="45">
        <f>+L49+5%</f>
        <v>0.9</v>
      </c>
      <c r="M50" s="45">
        <f t="shared" ref="M50:S50" si="20">+M49+5%</f>
        <v>0.92</v>
      </c>
      <c r="N50" s="45">
        <f t="shared" si="20"/>
        <v>0.94000000000000006</v>
      </c>
      <c r="O50" s="45">
        <f t="shared" si="20"/>
        <v>0.95000000000000007</v>
      </c>
      <c r="P50" s="45">
        <f t="shared" si="20"/>
        <v>0.95000000000000007</v>
      </c>
      <c r="Q50" s="45">
        <f t="shared" si="20"/>
        <v>0.96000000000000008</v>
      </c>
      <c r="R50" s="45">
        <f t="shared" si="20"/>
        <v>0.96000000000000008</v>
      </c>
      <c r="S50" s="45">
        <f t="shared" si="20"/>
        <v>0.96000000000000008</v>
      </c>
    </row>
    <row r="51" spans="1:19" ht="16.95" customHeight="1" x14ac:dyDescent="0.25">
      <c r="A51" s="52"/>
      <c r="B51" s="52"/>
      <c r="C51" s="52"/>
      <c r="D51" s="54"/>
      <c r="E51" s="52"/>
      <c r="F51" s="11"/>
      <c r="G51" s="7" t="s">
        <v>27</v>
      </c>
      <c r="H51" s="21"/>
      <c r="I51" s="21"/>
      <c r="J51" s="21"/>
      <c r="K51" s="21"/>
      <c r="L51" s="45">
        <f t="shared" ref="L51:S51" si="21">+L49-4%</f>
        <v>0.80999999999999994</v>
      </c>
      <c r="M51" s="45">
        <f t="shared" si="21"/>
        <v>0.83</v>
      </c>
      <c r="N51" s="45">
        <f t="shared" si="21"/>
        <v>0.85</v>
      </c>
      <c r="O51" s="45">
        <f t="shared" si="21"/>
        <v>0.86</v>
      </c>
      <c r="P51" s="45">
        <f t="shared" si="21"/>
        <v>0.86</v>
      </c>
      <c r="Q51" s="45">
        <f t="shared" si="21"/>
        <v>0.87</v>
      </c>
      <c r="R51" s="45">
        <f t="shared" si="21"/>
        <v>0.87</v>
      </c>
      <c r="S51" s="45">
        <f t="shared" si="21"/>
        <v>0.87</v>
      </c>
    </row>
    <row r="52" spans="1:19" ht="16.95" customHeight="1" x14ac:dyDescent="0.25">
      <c r="A52" s="52"/>
      <c r="B52" s="52"/>
      <c r="C52" s="52"/>
      <c r="D52" s="54"/>
      <c r="E52" s="52"/>
      <c r="F52" s="11"/>
      <c r="G52" s="7" t="s">
        <v>24</v>
      </c>
      <c r="H52" s="15" t="str">
        <f t="shared" ref="H52:S52" si="22">IFERROR(H49/H48,"")</f>
        <v/>
      </c>
      <c r="I52" s="15" t="str">
        <f t="shared" si="22"/>
        <v/>
      </c>
      <c r="J52" s="15" t="str">
        <f t="shared" si="22"/>
        <v/>
      </c>
      <c r="K52" s="15" t="str">
        <f t="shared" si="22"/>
        <v/>
      </c>
      <c r="L52" s="15" t="str">
        <f t="shared" si="22"/>
        <v/>
      </c>
      <c r="M52" s="15" t="str">
        <f t="shared" si="22"/>
        <v/>
      </c>
      <c r="N52" s="15" t="str">
        <f t="shared" si="22"/>
        <v/>
      </c>
      <c r="O52" s="15" t="str">
        <f t="shared" si="22"/>
        <v/>
      </c>
      <c r="P52" s="15" t="str">
        <f t="shared" si="22"/>
        <v/>
      </c>
      <c r="Q52" s="15" t="str">
        <f t="shared" si="22"/>
        <v/>
      </c>
      <c r="R52" s="15" t="str">
        <f t="shared" si="22"/>
        <v/>
      </c>
      <c r="S52" s="15" t="str">
        <f t="shared" si="22"/>
        <v/>
      </c>
    </row>
    <row r="53" spans="1:19" ht="16.95" customHeight="1" x14ac:dyDescent="0.25">
      <c r="A53" s="52"/>
      <c r="B53" s="52"/>
      <c r="C53" s="52"/>
      <c r="D53" s="54"/>
      <c r="E53" s="52"/>
      <c r="F53" s="11"/>
      <c r="G53" s="16" t="s">
        <v>134</v>
      </c>
      <c r="H53" s="27"/>
      <c r="I53" s="27"/>
      <c r="J53" s="27"/>
      <c r="K53" s="27"/>
      <c r="L53" s="19">
        <v>0.8397</v>
      </c>
      <c r="M53" s="19">
        <v>0.86129999999999995</v>
      </c>
      <c r="N53" s="19">
        <v>0.85840000000000005</v>
      </c>
      <c r="O53" s="27"/>
      <c r="P53" s="27"/>
      <c r="Q53" s="27"/>
      <c r="R53" s="27"/>
      <c r="S53" s="27"/>
    </row>
    <row r="54" spans="1:19" ht="16.95" customHeight="1" x14ac:dyDescent="0.25">
      <c r="A54" s="52"/>
      <c r="B54" s="52"/>
      <c r="C54" s="52"/>
      <c r="D54" s="54"/>
      <c r="E54" s="52"/>
      <c r="F54" s="11"/>
      <c r="G54" s="18" t="s">
        <v>135</v>
      </c>
      <c r="H54" s="22"/>
      <c r="I54" s="22"/>
      <c r="J54" s="22"/>
      <c r="K54" s="19" t="str">
        <f>IFERROR(K53/K49,"")</f>
        <v/>
      </c>
      <c r="L54" s="19">
        <f>IFERROR(L53/L49,"")</f>
        <v>0.98788235294117654</v>
      </c>
      <c r="M54" s="19">
        <f>IFERROR(M53/M49,"")</f>
        <v>0.99</v>
      </c>
      <c r="N54" s="19">
        <f>IFERROR(N53/N49,"")</f>
        <v>0.96449438202247195</v>
      </c>
      <c r="O54" s="22"/>
      <c r="P54" s="22"/>
      <c r="Q54" s="22"/>
      <c r="R54" s="22"/>
      <c r="S54" s="22"/>
    </row>
    <row r="55" spans="1:19" ht="16.95" customHeight="1" x14ac:dyDescent="0.25">
      <c r="A55" s="52" t="s">
        <v>37</v>
      </c>
      <c r="B55" s="52" t="s">
        <v>34</v>
      </c>
      <c r="C55" s="52" t="s">
        <v>46</v>
      </c>
      <c r="D55" s="54">
        <v>0.1</v>
      </c>
      <c r="E55" s="52" t="s">
        <v>36</v>
      </c>
      <c r="F55" s="11"/>
      <c r="G55" s="7" t="s">
        <v>22</v>
      </c>
      <c r="H55" s="15">
        <v>2.2313581696398101E-2</v>
      </c>
      <c r="I55" s="15">
        <v>2.2146414002137099E-2</v>
      </c>
      <c r="J55" s="15">
        <v>1.17750940779906E-2</v>
      </c>
      <c r="K55" s="15">
        <v>1.4389433172438199E-2</v>
      </c>
      <c r="L55" s="15">
        <v>1.6693994021974599E-2</v>
      </c>
      <c r="M55" s="15">
        <v>2.2133867582569001E-2</v>
      </c>
      <c r="N55" s="15">
        <v>3.1433660807396797E-2</v>
      </c>
      <c r="O55" s="15">
        <v>1.8051219853152702E-2</v>
      </c>
      <c r="P55" s="15">
        <v>1.49695891173969E-2</v>
      </c>
      <c r="Q55" s="15">
        <v>1.45570842717124E-2</v>
      </c>
      <c r="R55" s="15">
        <v>1.27385201301774E-2</v>
      </c>
      <c r="S55" s="15">
        <v>1.43396968822882E-2</v>
      </c>
    </row>
    <row r="56" spans="1:19" ht="16.95" customHeight="1" x14ac:dyDescent="0.25">
      <c r="A56" s="52"/>
      <c r="B56" s="52"/>
      <c r="C56" s="52"/>
      <c r="D56" s="54"/>
      <c r="E56" s="52"/>
      <c r="F56" s="11"/>
      <c r="G56" s="7" t="s">
        <v>23</v>
      </c>
      <c r="H56" s="15">
        <v>3.8590109531605403E-2</v>
      </c>
      <c r="I56" s="15">
        <v>3.0285702207761899E-2</v>
      </c>
      <c r="J56" s="15">
        <v>1.2479897998652199E-2</v>
      </c>
      <c r="K56" s="15">
        <v>1.1302538700038301E-2</v>
      </c>
      <c r="L56" s="15">
        <v>1.3434035975379901E-2</v>
      </c>
      <c r="M56" s="15">
        <v>1.5819625146652701E-2</v>
      </c>
      <c r="N56" s="15">
        <v>2.1557404588608799E-2</v>
      </c>
      <c r="O56" s="15">
        <v>1.33215273308563E-2</v>
      </c>
      <c r="P56" s="15">
        <v>1.02043787595595E-2</v>
      </c>
      <c r="Q56" s="15">
        <v>8.7861885047449198E-3</v>
      </c>
      <c r="R56" s="15">
        <v>7.7593135106897504E-3</v>
      </c>
      <c r="S56" s="15">
        <v>7.7789515137249602E-3</v>
      </c>
    </row>
    <row r="57" spans="1:19" ht="16.95" customHeight="1" x14ac:dyDescent="0.25">
      <c r="A57" s="52"/>
      <c r="B57" s="52"/>
      <c r="C57" s="52"/>
      <c r="D57" s="54"/>
      <c r="E57" s="52"/>
      <c r="F57" s="11"/>
      <c r="G57" s="7" t="s">
        <v>26</v>
      </c>
      <c r="H57" s="15"/>
      <c r="I57" s="15"/>
      <c r="J57" s="15"/>
      <c r="K57" s="15">
        <f>+K56*(1-3%*10)</f>
        <v>7.9117770900268107E-3</v>
      </c>
      <c r="L57" s="15">
        <f t="shared" ref="L57:S57" si="23">+L56*(1-3%*10)</f>
        <v>9.4038251827659302E-3</v>
      </c>
      <c r="M57" s="15">
        <f t="shared" si="23"/>
        <v>1.107373760265689E-2</v>
      </c>
      <c r="N57" s="15">
        <f t="shared" si="23"/>
        <v>1.5090183212026159E-2</v>
      </c>
      <c r="O57" s="15">
        <f t="shared" si="23"/>
        <v>9.3250691315994103E-3</v>
      </c>
      <c r="P57" s="15">
        <f t="shared" si="23"/>
        <v>7.1430651316916494E-3</v>
      </c>
      <c r="Q57" s="15">
        <f t="shared" si="23"/>
        <v>6.1503319533214437E-3</v>
      </c>
      <c r="R57" s="15">
        <f t="shared" si="23"/>
        <v>5.4315194574828252E-3</v>
      </c>
      <c r="S57" s="15">
        <f t="shared" si="23"/>
        <v>5.4452660596074716E-3</v>
      </c>
    </row>
    <row r="58" spans="1:19" ht="16.95" customHeight="1" x14ac:dyDescent="0.25">
      <c r="A58" s="52"/>
      <c r="B58" s="52"/>
      <c r="C58" s="52"/>
      <c r="D58" s="54"/>
      <c r="E58" s="52"/>
      <c r="F58" s="11"/>
      <c r="G58" s="7" t="s">
        <v>27</v>
      </c>
      <c r="H58" s="15"/>
      <c r="I58" s="15"/>
      <c r="J58" s="15"/>
      <c r="K58" s="15">
        <f>+K56*(1+3%*8)</f>
        <v>1.4015147988047493E-2</v>
      </c>
      <c r="L58" s="15">
        <f t="shared" ref="L58:S58" si="24">+L56*(1+3%*8)</f>
        <v>1.6658204609471077E-2</v>
      </c>
      <c r="M58" s="15">
        <f t="shared" si="24"/>
        <v>1.961633518184935E-2</v>
      </c>
      <c r="N58" s="15">
        <f t="shared" si="24"/>
        <v>2.673118168987491E-2</v>
      </c>
      <c r="O58" s="15">
        <f t="shared" si="24"/>
        <v>1.6518693890261813E-2</v>
      </c>
      <c r="P58" s="15">
        <f t="shared" si="24"/>
        <v>1.2653429661853781E-2</v>
      </c>
      <c r="Q58" s="15">
        <f t="shared" si="24"/>
        <v>1.08948737458837E-2</v>
      </c>
      <c r="R58" s="15">
        <f t="shared" si="24"/>
        <v>9.6215487532552903E-3</v>
      </c>
      <c r="S58" s="15">
        <f t="shared" si="24"/>
        <v>9.64589987701895E-3</v>
      </c>
    </row>
    <row r="59" spans="1:19" ht="16.95" customHeight="1" x14ac:dyDescent="0.25">
      <c r="A59" s="52"/>
      <c r="B59" s="52"/>
      <c r="C59" s="52"/>
      <c r="D59" s="54"/>
      <c r="E59" s="52"/>
      <c r="F59" s="11"/>
      <c r="G59" s="7" t="s">
        <v>24</v>
      </c>
      <c r="H59" s="45">
        <f>(H56-H55)/H55</f>
        <v>0.72944487607001651</v>
      </c>
      <c r="I59" s="45">
        <f t="shared" ref="I59:S59" si="25">(I56-I55)/I55</f>
        <v>0.36752172179384751</v>
      </c>
      <c r="J59" s="45">
        <f t="shared" si="25"/>
        <v>5.9855481068213513E-2</v>
      </c>
      <c r="K59" s="45">
        <f t="shared" si="25"/>
        <v>-0.21452509180921708</v>
      </c>
      <c r="L59" s="45">
        <f t="shared" si="25"/>
        <v>-0.19527729806920732</v>
      </c>
      <c r="M59" s="45">
        <f t="shared" si="25"/>
        <v>-0.28527515186224983</v>
      </c>
      <c r="N59" s="45">
        <f t="shared" si="25"/>
        <v>-0.31419363717457849</v>
      </c>
      <c r="O59" s="45">
        <f t="shared" si="25"/>
        <v>-0.2620151192425007</v>
      </c>
      <c r="P59" s="45">
        <f t="shared" si="25"/>
        <v>-0.31832606228981347</v>
      </c>
      <c r="Q59" s="45">
        <f t="shared" si="25"/>
        <v>-0.39643211918348192</v>
      </c>
      <c r="R59" s="45">
        <f t="shared" si="25"/>
        <v>-0.39087794882012783</v>
      </c>
      <c r="S59" s="45">
        <f t="shared" si="25"/>
        <v>-0.45752329511698403</v>
      </c>
    </row>
    <row r="60" spans="1:19" ht="16.95" customHeight="1" x14ac:dyDescent="0.25">
      <c r="A60" s="52"/>
      <c r="B60" s="52"/>
      <c r="C60" s="52"/>
      <c r="D60" s="54"/>
      <c r="E60" s="52"/>
      <c r="F60" s="11"/>
      <c r="G60" s="16" t="s">
        <v>134</v>
      </c>
      <c r="H60" s="19"/>
      <c r="I60" s="19"/>
      <c r="J60" s="19"/>
      <c r="K60" s="19">
        <v>1.26519202604349E-2</v>
      </c>
      <c r="L60" s="19">
        <v>1.30573987491051E-2</v>
      </c>
      <c r="M60" s="19">
        <v>1.7615556429416201E-2</v>
      </c>
      <c r="N60" s="19"/>
      <c r="O60" s="19"/>
      <c r="P60" s="19"/>
      <c r="Q60" s="19"/>
      <c r="R60" s="19"/>
      <c r="S60" s="19"/>
    </row>
    <row r="61" spans="1:19" ht="16.95" customHeight="1" x14ac:dyDescent="0.25">
      <c r="A61" s="52"/>
      <c r="B61" s="52"/>
      <c r="C61" s="52"/>
      <c r="D61" s="54"/>
      <c r="E61" s="52"/>
      <c r="F61" s="11"/>
      <c r="G61" s="18" t="s">
        <v>135</v>
      </c>
      <c r="H61" s="22"/>
      <c r="I61" s="22"/>
      <c r="J61" s="22"/>
      <c r="K61" s="19">
        <f>IFERROR(2-K60/K56,"")</f>
        <v>0.88061252465412698</v>
      </c>
      <c r="L61" s="19">
        <f>IFERROR(2-L60/L56,"")</f>
        <v>1.0280360441914143</v>
      </c>
      <c r="M61" s="19">
        <f>IFERROR(2-M60/M56,"")</f>
        <v>0.88647447293379744</v>
      </c>
      <c r="N61" s="22"/>
      <c r="O61" s="22"/>
      <c r="P61" s="22"/>
      <c r="Q61" s="22"/>
      <c r="R61" s="22"/>
      <c r="S61" s="22"/>
    </row>
    <row r="62" spans="1:19" ht="16.95" customHeight="1" x14ac:dyDescent="0.25">
      <c r="A62" s="52" t="s">
        <v>47</v>
      </c>
      <c r="B62" s="52" t="s">
        <v>48</v>
      </c>
      <c r="C62" s="52" t="s">
        <v>49</v>
      </c>
      <c r="D62" s="54">
        <v>0.4</v>
      </c>
      <c r="E62" s="56" t="s">
        <v>50</v>
      </c>
      <c r="F62" s="21"/>
      <c r="G62" s="7" t="s">
        <v>22</v>
      </c>
      <c r="H62" s="28">
        <v>425.39831653486101</v>
      </c>
      <c r="I62" s="28">
        <v>313.24180881737101</v>
      </c>
      <c r="J62" s="28">
        <v>347.781897159474</v>
      </c>
      <c r="K62" s="28">
        <v>314.65136052836499</v>
      </c>
      <c r="L62" s="28">
        <v>317.58916474415298</v>
      </c>
      <c r="M62" s="28">
        <v>293.56449313760498</v>
      </c>
      <c r="N62" s="28">
        <v>229.84013613431301</v>
      </c>
      <c r="O62" s="28">
        <v>357.43517011327799</v>
      </c>
      <c r="P62" s="28">
        <v>420.13075508116498</v>
      </c>
      <c r="Q62" s="28">
        <v>482.47971457935802</v>
      </c>
      <c r="R62" s="28">
        <v>466.93134920445902</v>
      </c>
      <c r="S62" s="28">
        <v>459.12060336156901</v>
      </c>
    </row>
    <row r="63" spans="1:19" ht="16.95" customHeight="1" x14ac:dyDescent="0.25">
      <c r="A63" s="52"/>
      <c r="B63" s="52"/>
      <c r="C63" s="52"/>
      <c r="D63" s="54"/>
      <c r="E63" s="52"/>
      <c r="F63" s="11"/>
      <c r="G63" s="7" t="s">
        <v>23</v>
      </c>
      <c r="H63" s="28">
        <v>289.30390993333202</v>
      </c>
      <c r="I63" s="28">
        <v>200.58682928473499</v>
      </c>
      <c r="J63" s="28">
        <v>374</v>
      </c>
      <c r="K63" s="28">
        <v>350.41093313776997</v>
      </c>
      <c r="L63" s="28">
        <v>343.43165641080202</v>
      </c>
      <c r="M63" s="28">
        <v>326.67783613866601</v>
      </c>
      <c r="N63" s="28">
        <v>263.14385363291399</v>
      </c>
      <c r="O63" s="28">
        <v>397.75369147123098</v>
      </c>
      <c r="P63" s="28">
        <v>494.96657745866997</v>
      </c>
      <c r="Q63" s="28">
        <v>584.07641415893204</v>
      </c>
      <c r="R63" s="28">
        <v>598.700941705133</v>
      </c>
      <c r="S63" s="28">
        <v>577.28341086631599</v>
      </c>
    </row>
    <row r="64" spans="1:19" ht="16.95" customHeight="1" x14ac:dyDescent="0.25">
      <c r="A64" s="52"/>
      <c r="B64" s="52"/>
      <c r="C64" s="52"/>
      <c r="D64" s="54"/>
      <c r="E64" s="52"/>
      <c r="F64" s="11"/>
      <c r="G64" s="7" t="s">
        <v>26</v>
      </c>
      <c r="H64" s="28">
        <f t="shared" ref="H64:S64" si="26">+H63*1.15</f>
        <v>332.69949642333182</v>
      </c>
      <c r="I64" s="28">
        <f t="shared" si="26"/>
        <v>230.67485367744521</v>
      </c>
      <c r="J64" s="28">
        <f t="shared" si="26"/>
        <v>430.09999999999997</v>
      </c>
      <c r="K64" s="28">
        <f t="shared" si="26"/>
        <v>402.97257310843543</v>
      </c>
      <c r="L64" s="28">
        <f t="shared" si="26"/>
        <v>394.94640487242231</v>
      </c>
      <c r="M64" s="28">
        <f t="shared" si="26"/>
        <v>375.67951155946588</v>
      </c>
      <c r="N64" s="28">
        <f t="shared" si="26"/>
        <v>302.61543167785106</v>
      </c>
      <c r="O64" s="28">
        <f t="shared" si="26"/>
        <v>457.4167451919156</v>
      </c>
      <c r="P64" s="28">
        <f t="shared" si="26"/>
        <v>569.21156407747037</v>
      </c>
      <c r="Q64" s="28">
        <f t="shared" si="26"/>
        <v>671.68787628277175</v>
      </c>
      <c r="R64" s="28">
        <f t="shared" si="26"/>
        <v>688.50608296090286</v>
      </c>
      <c r="S64" s="28">
        <f t="shared" si="26"/>
        <v>663.87592249626334</v>
      </c>
    </row>
    <row r="65" spans="1:19" ht="16.95" customHeight="1" x14ac:dyDescent="0.25">
      <c r="A65" s="52"/>
      <c r="B65" s="52"/>
      <c r="C65" s="52"/>
      <c r="D65" s="54"/>
      <c r="E65" s="52"/>
      <c r="F65" s="11"/>
      <c r="G65" s="7" t="s">
        <v>27</v>
      </c>
      <c r="H65" s="28">
        <f t="shared" ref="H65:S65" si="27">+H63*0.88</f>
        <v>254.58744074133219</v>
      </c>
      <c r="I65" s="28">
        <f t="shared" si="27"/>
        <v>176.51640977056678</v>
      </c>
      <c r="J65" s="28">
        <f t="shared" si="27"/>
        <v>329.12</v>
      </c>
      <c r="K65" s="28">
        <f t="shared" si="27"/>
        <v>308.36162116123757</v>
      </c>
      <c r="L65" s="28">
        <f t="shared" si="27"/>
        <v>302.21985764150577</v>
      </c>
      <c r="M65" s="28">
        <f t="shared" si="27"/>
        <v>287.47649580202608</v>
      </c>
      <c r="N65" s="28">
        <f t="shared" si="27"/>
        <v>231.56659119696431</v>
      </c>
      <c r="O65" s="28">
        <f t="shared" si="27"/>
        <v>350.02324849468329</v>
      </c>
      <c r="P65" s="28">
        <f t="shared" si="27"/>
        <v>435.57058816362957</v>
      </c>
      <c r="Q65" s="28">
        <f t="shared" si="27"/>
        <v>513.98724445986022</v>
      </c>
      <c r="R65" s="28">
        <f t="shared" si="27"/>
        <v>526.8568287005171</v>
      </c>
      <c r="S65" s="28">
        <f t="shared" si="27"/>
        <v>508.00940156235805</v>
      </c>
    </row>
    <row r="66" spans="1:19" ht="16.95" customHeight="1" x14ac:dyDescent="0.25">
      <c r="A66" s="52"/>
      <c r="B66" s="52"/>
      <c r="C66" s="52"/>
      <c r="D66" s="54"/>
      <c r="E66" s="52"/>
      <c r="F66" s="11"/>
      <c r="G66" s="7" t="s">
        <v>24</v>
      </c>
      <c r="H66" s="45">
        <f>(H63-H62)/H62</f>
        <v>-0.31992229708406983</v>
      </c>
      <c r="I66" s="45">
        <f t="shared" ref="I66:S66" si="28">(I63-I62)/I62</f>
        <v>-0.35964222004067509</v>
      </c>
      <c r="J66" s="45">
        <f t="shared" si="28"/>
        <v>7.5386623210304107E-2</v>
      </c>
      <c r="K66" s="45">
        <f t="shared" si="28"/>
        <v>0.11364823768553625</v>
      </c>
      <c r="L66" s="45">
        <f t="shared" si="28"/>
        <v>8.1370822859991213E-2</v>
      </c>
      <c r="M66" s="45">
        <f t="shared" si="28"/>
        <v>0.11279750710703125</v>
      </c>
      <c r="N66" s="45">
        <f t="shared" si="28"/>
        <v>0.14489948561089908</v>
      </c>
      <c r="O66" s="45">
        <f t="shared" si="28"/>
        <v>0.11279953605341994</v>
      </c>
      <c r="P66" s="45">
        <f t="shared" si="28"/>
        <v>0.17812507528292584</v>
      </c>
      <c r="Q66" s="45">
        <f t="shared" si="28"/>
        <v>0.21057196087124497</v>
      </c>
      <c r="R66" s="45">
        <f t="shared" si="28"/>
        <v>0.28220335328775487</v>
      </c>
      <c r="S66" s="45">
        <f t="shared" si="28"/>
        <v>0.25736768648496222</v>
      </c>
    </row>
    <row r="67" spans="1:19" ht="16.95" customHeight="1" x14ac:dyDescent="0.25">
      <c r="A67" s="52"/>
      <c r="B67" s="52"/>
      <c r="C67" s="52"/>
      <c r="D67" s="54"/>
      <c r="E67" s="52"/>
      <c r="F67" s="11"/>
      <c r="G67" s="16" t="s">
        <v>134</v>
      </c>
      <c r="H67" s="29"/>
      <c r="I67" s="29"/>
      <c r="J67" s="29"/>
      <c r="K67" s="29">
        <v>355</v>
      </c>
      <c r="L67" s="29">
        <v>349.66573350116198</v>
      </c>
      <c r="M67" s="29">
        <v>235.92030359801399</v>
      </c>
      <c r="N67" s="29">
        <v>194.1</v>
      </c>
      <c r="O67" s="29"/>
      <c r="P67" s="29"/>
      <c r="Q67" s="29"/>
      <c r="R67" s="29"/>
      <c r="S67" s="29"/>
    </row>
    <row r="68" spans="1:19" ht="16.95" customHeight="1" x14ac:dyDescent="0.25">
      <c r="A68" s="52"/>
      <c r="B68" s="52"/>
      <c r="C68" s="52"/>
      <c r="D68" s="54"/>
      <c r="E68" s="52"/>
      <c r="F68" s="11"/>
      <c r="G68" s="18" t="s">
        <v>135</v>
      </c>
      <c r="H68" s="22"/>
      <c r="I68" s="22"/>
      <c r="J68" s="22"/>
      <c r="K68" s="19">
        <f>IFERROR(K67/K63,"")</f>
        <v>1.0130962433767035</v>
      </c>
      <c r="L68" s="19">
        <f>IFERROR(L67/L63,"")</f>
        <v>1.0181523076687578</v>
      </c>
      <c r="M68" s="19">
        <f>IFERROR(M67/M63,"")</f>
        <v>0.7221803180362445</v>
      </c>
      <c r="N68" s="19">
        <f>IFERROR(N67/N63,"")</f>
        <v>0.73761935656217048</v>
      </c>
      <c r="O68" s="22"/>
      <c r="P68" s="22"/>
      <c r="Q68" s="22"/>
      <c r="R68" s="22"/>
      <c r="S68" s="22"/>
    </row>
    <row r="69" spans="1:19" ht="16.95" customHeight="1" x14ac:dyDescent="0.25">
      <c r="A69" s="52" t="s">
        <v>47</v>
      </c>
      <c r="B69" s="52" t="s">
        <v>51</v>
      </c>
      <c r="C69" s="52" t="s">
        <v>52</v>
      </c>
      <c r="D69" s="54">
        <v>0.2</v>
      </c>
      <c r="E69" s="56" t="s">
        <v>53</v>
      </c>
      <c r="F69" s="21"/>
      <c r="G69" s="7" t="s">
        <v>22</v>
      </c>
      <c r="H69" s="3">
        <v>0.3881</v>
      </c>
      <c r="I69" s="3">
        <v>0.73270000000000002</v>
      </c>
      <c r="J69" s="3">
        <v>0.56869999999999998</v>
      </c>
      <c r="K69" s="4">
        <v>0.57250000000000001</v>
      </c>
      <c r="L69" s="4">
        <v>0.58679999999999999</v>
      </c>
      <c r="M69" s="4">
        <v>0.53139999999999998</v>
      </c>
      <c r="N69" s="4">
        <v>0.51380000000000003</v>
      </c>
      <c r="O69" s="4">
        <v>0.60219999999999996</v>
      </c>
      <c r="P69" s="4">
        <v>0.58460000000000001</v>
      </c>
      <c r="Q69" s="4">
        <v>0.59379999999999999</v>
      </c>
      <c r="R69" s="4">
        <v>0.56140000000000001</v>
      </c>
      <c r="S69" s="4">
        <v>0.42299999999999999</v>
      </c>
    </row>
    <row r="70" spans="1:19" ht="16.95" customHeight="1" x14ac:dyDescent="0.25">
      <c r="A70" s="52"/>
      <c r="B70" s="52"/>
      <c r="C70" s="52"/>
      <c r="D70" s="54"/>
      <c r="E70" s="52"/>
      <c r="F70" s="11"/>
      <c r="G70" s="7" t="s">
        <v>23</v>
      </c>
      <c r="H70" s="3">
        <v>0.2586</v>
      </c>
      <c r="I70" s="3">
        <v>0.73270000000000002</v>
      </c>
      <c r="J70" s="3">
        <v>0.56869999999999998</v>
      </c>
      <c r="K70" s="4">
        <v>0.57250000000000001</v>
      </c>
      <c r="L70" s="4">
        <v>0.58679999999999999</v>
      </c>
      <c r="M70" s="4">
        <v>0.547342</v>
      </c>
      <c r="N70" s="4">
        <v>0.52921399999999996</v>
      </c>
      <c r="O70" s="4">
        <v>0.63133043628308605</v>
      </c>
      <c r="P70" s="4">
        <v>0.61486075594421497</v>
      </c>
      <c r="Q70" s="4">
        <v>0.62461017704309296</v>
      </c>
      <c r="R70" s="4">
        <v>0.59451601761123896</v>
      </c>
      <c r="S70" s="4">
        <v>0.55326642945791904</v>
      </c>
    </row>
    <row r="71" spans="1:19" ht="16.95" customHeight="1" x14ac:dyDescent="0.25">
      <c r="A71" s="52"/>
      <c r="B71" s="52"/>
      <c r="C71" s="52"/>
      <c r="D71" s="54"/>
      <c r="E71" s="52"/>
      <c r="F71" s="11"/>
      <c r="G71" s="7" t="s">
        <v>26</v>
      </c>
      <c r="H71" s="3">
        <f t="shared" ref="H71:S71" si="29">+H70+5%</f>
        <v>0.30859999999999999</v>
      </c>
      <c r="I71" s="3">
        <f t="shared" si="29"/>
        <v>0.78270000000000006</v>
      </c>
      <c r="J71" s="3">
        <f t="shared" si="29"/>
        <v>0.61870000000000003</v>
      </c>
      <c r="K71" s="4">
        <f t="shared" si="29"/>
        <v>0.62250000000000005</v>
      </c>
      <c r="L71" s="4">
        <f t="shared" si="29"/>
        <v>0.63680000000000003</v>
      </c>
      <c r="M71" s="4">
        <f t="shared" si="29"/>
        <v>0.59734200000000004</v>
      </c>
      <c r="N71" s="4">
        <f t="shared" si="29"/>
        <v>0.57921400000000001</v>
      </c>
      <c r="O71" s="4">
        <f t="shared" si="29"/>
        <v>0.68133043628308609</v>
      </c>
      <c r="P71" s="4">
        <f t="shared" si="29"/>
        <v>0.66486075594421501</v>
      </c>
      <c r="Q71" s="4">
        <f t="shared" si="29"/>
        <v>0.67461017704309301</v>
      </c>
      <c r="R71" s="4">
        <f t="shared" si="29"/>
        <v>0.644516017611239</v>
      </c>
      <c r="S71" s="4">
        <f t="shared" si="29"/>
        <v>0.60326642945791908</v>
      </c>
    </row>
    <row r="72" spans="1:19" ht="16.95" customHeight="1" x14ac:dyDescent="0.25">
      <c r="A72" s="52"/>
      <c r="B72" s="52"/>
      <c r="C72" s="52"/>
      <c r="D72" s="54"/>
      <c r="E72" s="52"/>
      <c r="F72" s="11"/>
      <c r="G72" s="7" t="s">
        <v>27</v>
      </c>
      <c r="H72" s="3">
        <f t="shared" ref="H72:S72" si="30">+H70-4%</f>
        <v>0.21859999999999999</v>
      </c>
      <c r="I72" s="3">
        <f t="shared" si="30"/>
        <v>0.69269999999999998</v>
      </c>
      <c r="J72" s="3">
        <f t="shared" si="30"/>
        <v>0.52869999999999995</v>
      </c>
      <c r="K72" s="4">
        <f t="shared" si="30"/>
        <v>0.53249999999999997</v>
      </c>
      <c r="L72" s="4">
        <f t="shared" si="30"/>
        <v>0.54679999999999995</v>
      </c>
      <c r="M72" s="4">
        <f t="shared" si="30"/>
        <v>0.50734199999999996</v>
      </c>
      <c r="N72" s="4">
        <f t="shared" si="30"/>
        <v>0.48921399999999998</v>
      </c>
      <c r="O72" s="4">
        <f t="shared" si="30"/>
        <v>0.59133043628308601</v>
      </c>
      <c r="P72" s="4">
        <f t="shared" si="30"/>
        <v>0.57486075594421493</v>
      </c>
      <c r="Q72" s="4">
        <f t="shared" si="30"/>
        <v>0.58461017704309293</v>
      </c>
      <c r="R72" s="4">
        <f t="shared" si="30"/>
        <v>0.55451601761123892</v>
      </c>
      <c r="S72" s="4">
        <f t="shared" si="30"/>
        <v>0.513266429457919</v>
      </c>
    </row>
    <row r="73" spans="1:19" ht="16.95" customHeight="1" x14ac:dyDescent="0.25">
      <c r="A73" s="52"/>
      <c r="B73" s="52"/>
      <c r="C73" s="52"/>
      <c r="D73" s="54"/>
      <c r="E73" s="52"/>
      <c r="F73" s="11"/>
      <c r="G73" s="7" t="s">
        <v>24</v>
      </c>
      <c r="H73" s="45">
        <f>(H70-H69)/H69</f>
        <v>-0.33367688740015461</v>
      </c>
      <c r="I73" s="45">
        <f t="shared" ref="I73:S73" si="31">(I70-I69)/I69</f>
        <v>0</v>
      </c>
      <c r="J73" s="45">
        <f t="shared" si="31"/>
        <v>0</v>
      </c>
      <c r="K73" s="45">
        <f t="shared" si="31"/>
        <v>0</v>
      </c>
      <c r="L73" s="45">
        <f t="shared" si="31"/>
        <v>0</v>
      </c>
      <c r="M73" s="45">
        <f t="shared" si="31"/>
        <v>3.0000000000000023E-2</v>
      </c>
      <c r="N73" s="45">
        <f t="shared" si="31"/>
        <v>2.9999999999999857E-2</v>
      </c>
      <c r="O73" s="45">
        <f t="shared" si="31"/>
        <v>4.8373358158562092E-2</v>
      </c>
      <c r="P73" s="45">
        <f t="shared" si="31"/>
        <v>5.1763181567251036E-2</v>
      </c>
      <c r="Q73" s="45">
        <f t="shared" si="31"/>
        <v>5.1886455107936963E-2</v>
      </c>
      <c r="R73" s="45">
        <f t="shared" si="31"/>
        <v>5.8988275046738411E-2</v>
      </c>
      <c r="S73" s="45">
        <f t="shared" si="31"/>
        <v>0.30795846207545874</v>
      </c>
    </row>
    <row r="74" spans="1:19" ht="16.95" customHeight="1" x14ac:dyDescent="0.25">
      <c r="A74" s="52"/>
      <c r="B74" s="52"/>
      <c r="C74" s="52"/>
      <c r="D74" s="54"/>
      <c r="E74" s="52"/>
      <c r="F74" s="11"/>
      <c r="G74" s="16" t="s">
        <v>134</v>
      </c>
      <c r="H74" s="30"/>
      <c r="I74" s="30"/>
      <c r="J74" s="30"/>
      <c r="K74" s="26">
        <v>0.598577571948396</v>
      </c>
      <c r="L74" s="26">
        <v>0.59419623515680997</v>
      </c>
      <c r="M74" s="26">
        <v>0.54600000000000004</v>
      </c>
      <c r="N74" s="26">
        <v>0.53280000000000005</v>
      </c>
      <c r="O74" s="30"/>
      <c r="P74" s="30"/>
      <c r="Q74" s="30"/>
      <c r="R74" s="30"/>
      <c r="S74" s="30"/>
    </row>
    <row r="75" spans="1:19" ht="16.95" customHeight="1" x14ac:dyDescent="0.25">
      <c r="A75" s="52"/>
      <c r="B75" s="52"/>
      <c r="C75" s="52"/>
      <c r="D75" s="54"/>
      <c r="E75" s="52"/>
      <c r="F75" s="11"/>
      <c r="G75" s="18" t="s">
        <v>135</v>
      </c>
      <c r="H75" s="22"/>
      <c r="I75" s="22"/>
      <c r="J75" s="22"/>
      <c r="K75" s="19">
        <f>IFERROR(K74/K70,"")</f>
        <v>1.0455503440146654</v>
      </c>
      <c r="L75" s="19">
        <f>IFERROR(L74/L70,"")</f>
        <v>1.0126043543912917</v>
      </c>
      <c r="M75" s="19">
        <f>IFERROR(M74/M70,"")</f>
        <v>0.99754815088189841</v>
      </c>
      <c r="N75" s="19">
        <f>IFERROR(N74/N70,"")</f>
        <v>1.006776086800425</v>
      </c>
      <c r="O75" s="22"/>
      <c r="P75" s="22"/>
      <c r="Q75" s="22"/>
      <c r="R75" s="22"/>
      <c r="S75" s="22"/>
    </row>
    <row r="76" spans="1:19" ht="16.95" customHeight="1" x14ac:dyDescent="0.25">
      <c r="A76" s="52" t="s">
        <v>47</v>
      </c>
      <c r="B76" s="52" t="s">
        <v>42</v>
      </c>
      <c r="C76" s="52" t="s">
        <v>54</v>
      </c>
      <c r="D76" s="54">
        <v>0.3</v>
      </c>
      <c r="E76" s="52" t="s">
        <v>44</v>
      </c>
      <c r="F76" s="11"/>
      <c r="G76" s="7" t="s">
        <v>22</v>
      </c>
      <c r="H76" s="11" t="s">
        <v>45</v>
      </c>
      <c r="I76" s="11"/>
      <c r="J76" s="11"/>
      <c r="K76" s="11"/>
      <c r="L76" s="11"/>
      <c r="M76" s="11"/>
      <c r="N76" s="11"/>
      <c r="O76" s="11"/>
      <c r="P76" s="11"/>
      <c r="Q76" s="11"/>
      <c r="R76" s="21"/>
      <c r="S76" s="11"/>
    </row>
    <row r="77" spans="1:19" ht="16.95" customHeight="1" x14ac:dyDescent="0.25">
      <c r="A77" s="52"/>
      <c r="B77" s="52"/>
      <c r="C77" s="52"/>
      <c r="D77" s="54"/>
      <c r="E77" s="52"/>
      <c r="F77" s="11"/>
      <c r="G77" s="7" t="s">
        <v>23</v>
      </c>
      <c r="H77" s="21"/>
      <c r="I77" s="21"/>
      <c r="J77" s="21"/>
      <c r="K77" s="21"/>
      <c r="L77" s="15">
        <v>0.85</v>
      </c>
      <c r="M77" s="15">
        <v>0.87</v>
      </c>
      <c r="N77" s="15">
        <v>0.89</v>
      </c>
      <c r="O77" s="15">
        <v>0.9</v>
      </c>
      <c r="P77" s="15">
        <v>0.9</v>
      </c>
      <c r="Q77" s="15">
        <v>0.91</v>
      </c>
      <c r="R77" s="15">
        <v>0.91</v>
      </c>
      <c r="S77" s="15">
        <v>0.91</v>
      </c>
    </row>
    <row r="78" spans="1:19" ht="16.95" customHeight="1" x14ac:dyDescent="0.25">
      <c r="A78" s="52"/>
      <c r="B78" s="52"/>
      <c r="C78" s="52"/>
      <c r="D78" s="54"/>
      <c r="E78" s="52"/>
      <c r="F78" s="11"/>
      <c r="G78" s="7" t="s">
        <v>26</v>
      </c>
      <c r="H78" s="21"/>
      <c r="I78" s="21"/>
      <c r="J78" s="21"/>
      <c r="K78" s="21"/>
      <c r="L78" s="15">
        <f>+L77+5%</f>
        <v>0.9</v>
      </c>
      <c r="M78" s="15">
        <f t="shared" ref="M78:S78" si="32">+M77+5%</f>
        <v>0.92</v>
      </c>
      <c r="N78" s="15">
        <f t="shared" si="32"/>
        <v>0.94000000000000006</v>
      </c>
      <c r="O78" s="15">
        <f t="shared" si="32"/>
        <v>0.95000000000000007</v>
      </c>
      <c r="P78" s="15">
        <f t="shared" si="32"/>
        <v>0.95000000000000007</v>
      </c>
      <c r="Q78" s="15">
        <f t="shared" si="32"/>
        <v>0.96000000000000008</v>
      </c>
      <c r="R78" s="15">
        <f t="shared" si="32"/>
        <v>0.96000000000000008</v>
      </c>
      <c r="S78" s="15">
        <f t="shared" si="32"/>
        <v>0.96000000000000008</v>
      </c>
    </row>
    <row r="79" spans="1:19" ht="16.95" customHeight="1" x14ac:dyDescent="0.25">
      <c r="A79" s="52"/>
      <c r="B79" s="52"/>
      <c r="C79" s="52"/>
      <c r="D79" s="54"/>
      <c r="E79" s="52"/>
      <c r="F79" s="11"/>
      <c r="G79" s="7" t="s">
        <v>27</v>
      </c>
      <c r="H79" s="21"/>
      <c r="I79" s="21"/>
      <c r="J79" s="21"/>
      <c r="K79" s="21"/>
      <c r="L79" s="15">
        <f t="shared" ref="L79:S79" si="33">+L77-4%</f>
        <v>0.80999999999999994</v>
      </c>
      <c r="M79" s="15">
        <f t="shared" si="33"/>
        <v>0.83</v>
      </c>
      <c r="N79" s="15">
        <f t="shared" si="33"/>
        <v>0.85</v>
      </c>
      <c r="O79" s="15">
        <f t="shared" si="33"/>
        <v>0.86</v>
      </c>
      <c r="P79" s="15">
        <f t="shared" si="33"/>
        <v>0.86</v>
      </c>
      <c r="Q79" s="15">
        <f t="shared" si="33"/>
        <v>0.87</v>
      </c>
      <c r="R79" s="15">
        <f t="shared" si="33"/>
        <v>0.87</v>
      </c>
      <c r="S79" s="15">
        <f t="shared" si="33"/>
        <v>0.87</v>
      </c>
    </row>
    <row r="80" spans="1:19" ht="16.95" customHeight="1" x14ac:dyDescent="0.25">
      <c r="A80" s="52"/>
      <c r="B80" s="52"/>
      <c r="C80" s="52"/>
      <c r="D80" s="54"/>
      <c r="E80" s="52"/>
      <c r="F80" s="11"/>
      <c r="G80" s="7" t="s">
        <v>24</v>
      </c>
      <c r="H80" s="21"/>
      <c r="I80" s="21"/>
      <c r="J80" s="21"/>
      <c r="K80" s="15" t="str">
        <f t="shared" ref="K80:S80" si="34">IFERROR(K77/K76,"")</f>
        <v/>
      </c>
      <c r="L80" s="15" t="str">
        <f>IFERROR(L77/L76,"")</f>
        <v/>
      </c>
      <c r="M80" s="15" t="str">
        <f t="shared" si="34"/>
        <v/>
      </c>
      <c r="N80" s="15" t="str">
        <f t="shared" si="34"/>
        <v/>
      </c>
      <c r="O80" s="15" t="str">
        <f t="shared" si="34"/>
        <v/>
      </c>
      <c r="P80" s="15" t="str">
        <f t="shared" si="34"/>
        <v/>
      </c>
      <c r="Q80" s="15" t="str">
        <f t="shared" si="34"/>
        <v/>
      </c>
      <c r="R80" s="15" t="str">
        <f t="shared" si="34"/>
        <v/>
      </c>
      <c r="S80" s="15" t="str">
        <f t="shared" si="34"/>
        <v/>
      </c>
    </row>
    <row r="81" spans="1:19" ht="16.95" customHeight="1" x14ac:dyDescent="0.25">
      <c r="A81" s="52"/>
      <c r="B81" s="52"/>
      <c r="C81" s="52"/>
      <c r="D81" s="54"/>
      <c r="E81" s="52"/>
      <c r="F81" s="11"/>
      <c r="G81" s="16" t="s">
        <v>134</v>
      </c>
      <c r="H81" s="27"/>
      <c r="I81" s="27"/>
      <c r="J81" s="27"/>
      <c r="K81" s="27"/>
      <c r="L81" s="19">
        <v>0.8397</v>
      </c>
      <c r="M81" s="19">
        <v>0.86129999999999995</v>
      </c>
      <c r="N81" s="19">
        <v>0.85840000000000005</v>
      </c>
      <c r="O81" s="27"/>
      <c r="P81" s="27"/>
      <c r="Q81" s="27"/>
      <c r="R81" s="27"/>
      <c r="S81" s="27"/>
    </row>
    <row r="82" spans="1:19" ht="16.95" customHeight="1" x14ac:dyDescent="0.25">
      <c r="A82" s="52"/>
      <c r="B82" s="52"/>
      <c r="C82" s="52"/>
      <c r="D82" s="54"/>
      <c r="E82" s="52"/>
      <c r="F82" s="11"/>
      <c r="G82" s="18" t="s">
        <v>135</v>
      </c>
      <c r="H82" s="19" t="str">
        <f t="shared" ref="H82:Q82" si="35">IFERROR(H77/H76,"")</f>
        <v/>
      </c>
      <c r="I82" s="19" t="str">
        <f t="shared" si="35"/>
        <v/>
      </c>
      <c r="J82" s="19" t="str">
        <f t="shared" si="35"/>
        <v/>
      </c>
      <c r="K82" s="19" t="str">
        <f>IFERROR(K81/K77,"")</f>
        <v/>
      </c>
      <c r="L82" s="19">
        <f>IFERROR(L81/L77,"")</f>
        <v>0.98788235294117654</v>
      </c>
      <c r="M82" s="19">
        <f>IFERROR(M81/M77,"")</f>
        <v>0.99</v>
      </c>
      <c r="N82" s="19">
        <f>IFERROR(N81/N77,"")</f>
        <v>0.96449438202247195</v>
      </c>
      <c r="O82" s="19" t="str">
        <f t="shared" si="35"/>
        <v/>
      </c>
      <c r="P82" s="19" t="str">
        <f t="shared" si="35"/>
        <v/>
      </c>
      <c r="Q82" s="19" t="str">
        <f t="shared" si="35"/>
        <v/>
      </c>
      <c r="R82" s="19"/>
      <c r="S82" s="19" t="str">
        <f t="shared" ref="S82" si="36">IFERROR(S77/S76,"")</f>
        <v/>
      </c>
    </row>
    <row r="83" spans="1:19" ht="16.95" customHeight="1" x14ac:dyDescent="0.25">
      <c r="A83" s="52" t="s">
        <v>47</v>
      </c>
      <c r="B83" s="52" t="s">
        <v>34</v>
      </c>
      <c r="C83" s="52" t="s">
        <v>46</v>
      </c>
      <c r="D83" s="54">
        <v>0.1</v>
      </c>
      <c r="E83" s="52" t="s">
        <v>36</v>
      </c>
      <c r="F83" s="11"/>
      <c r="G83" s="7" t="s">
        <v>22</v>
      </c>
      <c r="H83" s="15"/>
      <c r="I83" s="15"/>
      <c r="J83" s="15"/>
      <c r="K83" s="15"/>
      <c r="L83" s="15"/>
      <c r="M83" s="15"/>
      <c r="N83" s="15">
        <v>4.2921752353428698E-3</v>
      </c>
      <c r="O83" s="15">
        <v>2.4541317221896601E-3</v>
      </c>
      <c r="P83" s="15">
        <v>2.0306432898301399E-3</v>
      </c>
      <c r="Q83" s="15">
        <v>1.5340028413846E-3</v>
      </c>
      <c r="R83" s="15">
        <v>1.56728952788944E-3</v>
      </c>
      <c r="S83" s="15">
        <v>2.74876945373309E-3</v>
      </c>
    </row>
    <row r="84" spans="1:19" ht="16.95" customHeight="1" x14ac:dyDescent="0.25">
      <c r="A84" s="52"/>
      <c r="B84" s="52"/>
      <c r="C84" s="52"/>
      <c r="D84" s="54"/>
      <c r="E84" s="52"/>
      <c r="F84" s="11"/>
      <c r="G84" s="7" t="s">
        <v>23</v>
      </c>
      <c r="H84" s="15">
        <v>4.5091492849599303E-3</v>
      </c>
      <c r="I84" s="15">
        <v>5.4410573237373399E-3</v>
      </c>
      <c r="J84" s="15">
        <v>2.3658103713782601E-3</v>
      </c>
      <c r="K84" s="15">
        <v>2.01260284995129E-3</v>
      </c>
      <c r="L84" s="15">
        <v>2.2049303222400102E-3</v>
      </c>
      <c r="M84" s="15">
        <v>2.39806462660612E-3</v>
      </c>
      <c r="N84" s="15">
        <v>3.0945009975401499E-3</v>
      </c>
      <c r="O84" s="15">
        <v>1.76890217396179E-3</v>
      </c>
      <c r="P84" s="15">
        <v>1.24681110417251E-3</v>
      </c>
      <c r="Q84" s="15">
        <v>1.01379861781591E-3</v>
      </c>
      <c r="R84" s="15">
        <v>8.5316614710672799E-4</v>
      </c>
      <c r="S84" s="15">
        <v>8.5308648512860295E-4</v>
      </c>
    </row>
    <row r="85" spans="1:19" ht="16.95" customHeight="1" x14ac:dyDescent="0.25">
      <c r="A85" s="52"/>
      <c r="B85" s="52"/>
      <c r="C85" s="52"/>
      <c r="D85" s="54"/>
      <c r="E85" s="52"/>
      <c r="F85" s="11"/>
      <c r="G85" s="7" t="s">
        <v>26</v>
      </c>
      <c r="H85" s="15"/>
      <c r="I85" s="15"/>
      <c r="J85" s="15"/>
      <c r="K85" s="15">
        <f>+K84*(1-3%*10)</f>
        <v>1.4088219949659028E-3</v>
      </c>
      <c r="L85" s="15">
        <f t="shared" ref="L85:S85" si="37">+L84*(1-3%*10)</f>
        <v>1.5434512255680071E-3</v>
      </c>
      <c r="M85" s="15">
        <f t="shared" si="37"/>
        <v>1.6786452386242838E-3</v>
      </c>
      <c r="N85" s="15">
        <f t="shared" si="37"/>
        <v>2.166150698278105E-3</v>
      </c>
      <c r="O85" s="15">
        <f t="shared" si="37"/>
        <v>1.2382315217732529E-3</v>
      </c>
      <c r="P85" s="15">
        <f t="shared" si="37"/>
        <v>8.7276777292075701E-4</v>
      </c>
      <c r="Q85" s="15">
        <f t="shared" si="37"/>
        <v>7.0965903247113696E-4</v>
      </c>
      <c r="R85" s="15">
        <f t="shared" si="37"/>
        <v>5.9721630297470958E-4</v>
      </c>
      <c r="S85" s="15">
        <f t="shared" si="37"/>
        <v>5.9716053959002198E-4</v>
      </c>
    </row>
    <row r="86" spans="1:19" ht="16.95" customHeight="1" x14ac:dyDescent="0.25">
      <c r="A86" s="52"/>
      <c r="B86" s="52"/>
      <c r="C86" s="52"/>
      <c r="D86" s="54"/>
      <c r="E86" s="52"/>
      <c r="F86" s="11"/>
      <c r="G86" s="7" t="s">
        <v>27</v>
      </c>
      <c r="H86" s="15"/>
      <c r="I86" s="15"/>
      <c r="J86" s="15"/>
      <c r="K86" s="15">
        <f>+K84*(1+3%*8)</f>
        <v>2.4956275339395994E-3</v>
      </c>
      <c r="L86" s="15">
        <f t="shared" ref="L86:S86" si="38">+L84*(1+3%*8)</f>
        <v>2.7341135995776126E-3</v>
      </c>
      <c r="M86" s="15">
        <f t="shared" si="38"/>
        <v>2.9736001369915889E-3</v>
      </c>
      <c r="N86" s="15">
        <f t="shared" si="38"/>
        <v>3.837181236949786E-3</v>
      </c>
      <c r="O86" s="15">
        <f t="shared" si="38"/>
        <v>2.1934386957126197E-3</v>
      </c>
      <c r="P86" s="15">
        <f t="shared" si="38"/>
        <v>1.5460457691739125E-3</v>
      </c>
      <c r="Q86" s="15">
        <f t="shared" si="38"/>
        <v>1.2571102860917283E-3</v>
      </c>
      <c r="R86" s="15">
        <f t="shared" si="38"/>
        <v>1.0579260224123426E-3</v>
      </c>
      <c r="S86" s="15">
        <f t="shared" si="38"/>
        <v>1.0578272415594676E-3</v>
      </c>
    </row>
    <row r="87" spans="1:19" ht="16.95" customHeight="1" x14ac:dyDescent="0.25">
      <c r="A87" s="52"/>
      <c r="B87" s="52"/>
      <c r="C87" s="52"/>
      <c r="D87" s="54"/>
      <c r="E87" s="52"/>
      <c r="F87" s="11"/>
      <c r="G87" s="7" t="s">
        <v>24</v>
      </c>
      <c r="H87" s="15" t="str">
        <f>IFERROR(H84/H83,"")</f>
        <v/>
      </c>
      <c r="I87" s="15" t="str">
        <f t="shared" ref="I87:J87" si="39">IFERROR(I84/I83,"")</f>
        <v/>
      </c>
      <c r="J87" s="15" t="str">
        <f t="shared" si="39"/>
        <v/>
      </c>
      <c r="K87" s="15" t="str">
        <f>IFERROR(K84/K83,"")</f>
        <v/>
      </c>
      <c r="L87" s="15" t="str">
        <f>IFERROR(L84/L83,"")</f>
        <v/>
      </c>
      <c r="M87" s="15" t="str">
        <f>IFERROR(M84/M83,"")</f>
        <v/>
      </c>
      <c r="N87" s="45">
        <f>(N84-N83)/N83</f>
        <v>-0.27903665906758968</v>
      </c>
      <c r="O87" s="45">
        <f t="shared" ref="O87:R87" si="40">(O84-O83)/O83</f>
        <v>-0.2792146574823966</v>
      </c>
      <c r="P87" s="45">
        <f t="shared" si="40"/>
        <v>-0.38600190864797146</v>
      </c>
      <c r="Q87" s="45">
        <f t="shared" si="40"/>
        <v>-0.3391155541140658</v>
      </c>
      <c r="R87" s="45">
        <f t="shared" si="40"/>
        <v>-0.45564228438658194</v>
      </c>
      <c r="S87" s="45">
        <f>(S84-S83)/S83</f>
        <v>-0.68964785898285119</v>
      </c>
    </row>
    <row r="88" spans="1:19" ht="16.95" customHeight="1" x14ac:dyDescent="0.25">
      <c r="A88" s="52"/>
      <c r="B88" s="52"/>
      <c r="C88" s="52"/>
      <c r="D88" s="54"/>
      <c r="E88" s="52"/>
      <c r="F88" s="11"/>
      <c r="G88" s="16" t="s">
        <v>134</v>
      </c>
      <c r="H88" s="19"/>
      <c r="I88" s="19"/>
      <c r="J88" s="19"/>
      <c r="K88" s="19">
        <v>2.8042915981696401E-3</v>
      </c>
      <c r="L88" s="19">
        <v>2.63514228803209E-3</v>
      </c>
      <c r="M88" s="19">
        <v>3.1629157763308101E-3</v>
      </c>
      <c r="N88" s="19"/>
      <c r="O88" s="19"/>
      <c r="P88" s="19"/>
      <c r="Q88" s="19"/>
      <c r="R88" s="19"/>
      <c r="S88" s="19"/>
    </row>
    <row r="89" spans="1:19" ht="16.95" customHeight="1" x14ac:dyDescent="0.25">
      <c r="A89" s="52"/>
      <c r="B89" s="52"/>
      <c r="C89" s="52"/>
      <c r="D89" s="54"/>
      <c r="E89" s="52"/>
      <c r="F89" s="11"/>
      <c r="G89" s="18" t="s">
        <v>135</v>
      </c>
      <c r="H89" s="19"/>
      <c r="I89" s="19"/>
      <c r="J89" s="19"/>
      <c r="K89" s="19">
        <f>IFERROR(2-K88/K84,"")</f>
        <v>0.6066343897716775</v>
      </c>
      <c r="L89" s="19">
        <f>IFERROR(2-L88/L84,"")</f>
        <v>0.80488636695103222</v>
      </c>
      <c r="M89" s="19">
        <f>IFERROR(2-M88/M84,"")</f>
        <v>0.68105482177636234</v>
      </c>
      <c r="N89" s="19"/>
      <c r="O89" s="19"/>
      <c r="P89" s="19"/>
      <c r="Q89" s="19"/>
      <c r="R89" s="19"/>
      <c r="S89" s="19"/>
    </row>
    <row r="90" spans="1:19" s="20" customFormat="1" ht="16.95" customHeight="1" x14ac:dyDescent="0.25">
      <c r="A90" s="53" t="s">
        <v>1</v>
      </c>
      <c r="B90" s="53" t="s">
        <v>55</v>
      </c>
      <c r="C90" s="53" t="s">
        <v>56</v>
      </c>
      <c r="D90" s="54">
        <v>0.35</v>
      </c>
      <c r="E90" s="53" t="s">
        <v>57</v>
      </c>
      <c r="F90" s="15"/>
      <c r="G90" s="25" t="s">
        <v>22</v>
      </c>
      <c r="H90" s="4">
        <v>0.94817073170731703</v>
      </c>
      <c r="I90" s="4">
        <v>0.90548780487804903</v>
      </c>
      <c r="J90" s="4">
        <v>0.957317073170732</v>
      </c>
      <c r="K90" s="4">
        <v>0.95918367346938804</v>
      </c>
      <c r="L90" s="4">
        <v>0.96177237185056497</v>
      </c>
      <c r="M90" s="4">
        <v>0.94776748104465003</v>
      </c>
      <c r="N90" s="4">
        <v>0.91893939393939394</v>
      </c>
      <c r="O90" s="4">
        <v>0.95113350125944596</v>
      </c>
      <c r="P90" s="4">
        <v>0.95951859956236296</v>
      </c>
      <c r="Q90" s="4">
        <v>0.95009460737937601</v>
      </c>
      <c r="R90" s="4">
        <v>0.93482270957163305</v>
      </c>
      <c r="S90" s="4">
        <v>0.91897305171158095</v>
      </c>
    </row>
    <row r="91" spans="1:19" s="20" customFormat="1" ht="16.95" customHeight="1" x14ac:dyDescent="0.25">
      <c r="A91" s="53"/>
      <c r="B91" s="53"/>
      <c r="C91" s="53"/>
      <c r="D91" s="54"/>
      <c r="E91" s="53"/>
      <c r="F91" s="15"/>
      <c r="G91" s="25" t="s">
        <v>23</v>
      </c>
      <c r="H91" s="4">
        <v>0.790821968300774</v>
      </c>
      <c r="I91" s="4">
        <v>0.56517775752051003</v>
      </c>
      <c r="J91" s="4">
        <v>0.83560606060606102</v>
      </c>
      <c r="K91" s="4">
        <v>0.9</v>
      </c>
      <c r="L91" s="4">
        <v>0.93</v>
      </c>
      <c r="M91" s="4">
        <v>0.95392415087762805</v>
      </c>
      <c r="N91" s="4">
        <v>0.94265384809513497</v>
      </c>
      <c r="O91" s="4">
        <v>0.94900832841625304</v>
      </c>
      <c r="P91" s="4">
        <v>0.96</v>
      </c>
      <c r="Q91" s="4">
        <v>0.96</v>
      </c>
      <c r="R91" s="4">
        <v>0.94794769084330199</v>
      </c>
      <c r="S91" s="4">
        <v>0.95</v>
      </c>
    </row>
    <row r="92" spans="1:19" s="20" customFormat="1" ht="16.95" customHeight="1" x14ac:dyDescent="0.25">
      <c r="A92" s="53"/>
      <c r="B92" s="53"/>
      <c r="C92" s="53"/>
      <c r="D92" s="54"/>
      <c r="E92" s="53"/>
      <c r="F92" s="15"/>
      <c r="G92" s="25" t="s">
        <v>26</v>
      </c>
      <c r="H92" s="4">
        <f t="shared" ref="H92:S92" si="41">+H91+3%</f>
        <v>0.82082196830077403</v>
      </c>
      <c r="I92" s="4">
        <f t="shared" si="41"/>
        <v>0.59517775752051005</v>
      </c>
      <c r="J92" s="4">
        <f t="shared" si="41"/>
        <v>0.86560606060606105</v>
      </c>
      <c r="K92" s="4">
        <f t="shared" si="41"/>
        <v>0.93</v>
      </c>
      <c r="L92" s="4">
        <f t="shared" si="41"/>
        <v>0.96000000000000008</v>
      </c>
      <c r="M92" s="4">
        <f t="shared" si="41"/>
        <v>0.98392415087762808</v>
      </c>
      <c r="N92" s="4">
        <f t="shared" si="41"/>
        <v>0.972653848095135</v>
      </c>
      <c r="O92" s="4">
        <f t="shared" si="41"/>
        <v>0.97900832841625307</v>
      </c>
      <c r="P92" s="4">
        <f t="shared" si="41"/>
        <v>0.99</v>
      </c>
      <c r="Q92" s="4">
        <f t="shared" si="41"/>
        <v>0.99</v>
      </c>
      <c r="R92" s="4">
        <f t="shared" si="41"/>
        <v>0.97794769084330202</v>
      </c>
      <c r="S92" s="4">
        <f t="shared" si="41"/>
        <v>0.98</v>
      </c>
    </row>
    <row r="93" spans="1:19" s="20" customFormat="1" ht="16.95" customHeight="1" x14ac:dyDescent="0.25">
      <c r="A93" s="53"/>
      <c r="B93" s="53"/>
      <c r="C93" s="53"/>
      <c r="D93" s="54"/>
      <c r="E93" s="53"/>
      <c r="F93" s="15"/>
      <c r="G93" s="25" t="s">
        <v>27</v>
      </c>
      <c r="H93" s="4">
        <f t="shared" ref="H93:S93" si="42">+H91-2.4%</f>
        <v>0.76682196830077398</v>
      </c>
      <c r="I93" s="4">
        <f t="shared" si="42"/>
        <v>0.54117775752051001</v>
      </c>
      <c r="J93" s="4">
        <f t="shared" si="42"/>
        <v>0.811606060606061</v>
      </c>
      <c r="K93" s="4">
        <f t="shared" si="42"/>
        <v>0.876</v>
      </c>
      <c r="L93" s="4">
        <f t="shared" si="42"/>
        <v>0.90600000000000003</v>
      </c>
      <c r="M93" s="4">
        <f t="shared" si="42"/>
        <v>0.92992415087762803</v>
      </c>
      <c r="N93" s="4">
        <f t="shared" si="42"/>
        <v>0.91865384809513495</v>
      </c>
      <c r="O93" s="4">
        <f t="shared" si="42"/>
        <v>0.92500832841625302</v>
      </c>
      <c r="P93" s="4">
        <f t="shared" si="42"/>
        <v>0.93599999999999994</v>
      </c>
      <c r="Q93" s="4">
        <f t="shared" si="42"/>
        <v>0.93599999999999994</v>
      </c>
      <c r="R93" s="4">
        <f t="shared" si="42"/>
        <v>0.92394769084330197</v>
      </c>
      <c r="S93" s="4">
        <f t="shared" si="42"/>
        <v>0.92599999999999993</v>
      </c>
    </row>
    <row r="94" spans="1:19" s="20" customFormat="1" ht="16.95" customHeight="1" x14ac:dyDescent="0.25">
      <c r="A94" s="53"/>
      <c r="B94" s="53"/>
      <c r="C94" s="53"/>
      <c r="D94" s="54"/>
      <c r="E94" s="53"/>
      <c r="F94" s="15"/>
      <c r="G94" s="25" t="s">
        <v>24</v>
      </c>
      <c r="H94" s="45">
        <f>(H91-H90)/H90</f>
        <v>-0.16594982121333154</v>
      </c>
      <c r="I94" s="45">
        <f t="shared" ref="I94:S94" si="43">(I91-I90)/I90</f>
        <v>-0.37583062469115408</v>
      </c>
      <c r="J94" s="45">
        <f t="shared" si="43"/>
        <v>-0.12713761822042061</v>
      </c>
      <c r="K94" s="45">
        <f t="shared" si="43"/>
        <v>-6.1702127659574724E-2</v>
      </c>
      <c r="L94" s="45">
        <f t="shared" si="43"/>
        <v>-3.3035230352303713E-2</v>
      </c>
      <c r="M94" s="45">
        <f t="shared" si="43"/>
        <v>6.4959707482177033E-3</v>
      </c>
      <c r="N94" s="45">
        <f t="shared" si="43"/>
        <v>2.580633098563739E-2</v>
      </c>
      <c r="O94" s="45">
        <f t="shared" si="43"/>
        <v>-2.2343581004967859E-3</v>
      </c>
      <c r="P94" s="45">
        <f t="shared" si="43"/>
        <v>5.0171037628303397E-4</v>
      </c>
      <c r="Q94" s="45">
        <f t="shared" si="43"/>
        <v>1.0425690814039846E-2</v>
      </c>
      <c r="R94" s="45">
        <f t="shared" si="43"/>
        <v>1.404007533972217E-2</v>
      </c>
      <c r="S94" s="45">
        <f t="shared" si="43"/>
        <v>3.3762631266098103E-2</v>
      </c>
    </row>
    <row r="95" spans="1:19" s="20" customFormat="1" ht="16.95" customHeight="1" x14ac:dyDescent="0.25">
      <c r="A95" s="53"/>
      <c r="B95" s="53"/>
      <c r="C95" s="53"/>
      <c r="D95" s="54"/>
      <c r="E95" s="53"/>
      <c r="F95" s="15"/>
      <c r="G95" s="16" t="s">
        <v>134</v>
      </c>
      <c r="H95" s="26"/>
      <c r="I95" s="26"/>
      <c r="J95" s="26"/>
      <c r="K95" s="26">
        <v>0.87732690000000002</v>
      </c>
      <c r="L95" s="26">
        <v>0.88</v>
      </c>
      <c r="M95" s="26">
        <v>0.83</v>
      </c>
      <c r="N95" s="26">
        <v>0.78200000000000003</v>
      </c>
      <c r="O95" s="26"/>
      <c r="P95" s="26"/>
      <c r="Q95" s="26"/>
      <c r="R95" s="26"/>
      <c r="S95" s="26"/>
    </row>
    <row r="96" spans="1:19" s="20" customFormat="1" ht="16.95" customHeight="1" x14ac:dyDescent="0.25">
      <c r="A96" s="53"/>
      <c r="B96" s="53"/>
      <c r="C96" s="53"/>
      <c r="D96" s="54"/>
      <c r="E96" s="53"/>
      <c r="F96" s="15"/>
      <c r="G96" s="18" t="s">
        <v>135</v>
      </c>
      <c r="H96" s="19"/>
      <c r="I96" s="19"/>
      <c r="J96" s="19"/>
      <c r="K96" s="19">
        <f>IFERROR(K95/K91,"")</f>
        <v>0.97480766666666663</v>
      </c>
      <c r="L96" s="19">
        <f>IFERROR(L95/L91,"")</f>
        <v>0.94623655913978488</v>
      </c>
      <c r="M96" s="19">
        <f>IFERROR(M95/M91,"")</f>
        <v>0.87009014211075841</v>
      </c>
      <c r="N96" s="19">
        <f>IFERROR(N95/N91,"")</f>
        <v>0.82957280827975644</v>
      </c>
      <c r="O96" s="19"/>
      <c r="P96" s="19"/>
      <c r="Q96" s="19"/>
      <c r="R96" s="19"/>
      <c r="S96" s="19"/>
    </row>
    <row r="97" spans="1:19" ht="16.95" customHeight="1" x14ac:dyDescent="0.25">
      <c r="A97" s="52" t="s">
        <v>1</v>
      </c>
      <c r="B97" s="52" t="s">
        <v>58</v>
      </c>
      <c r="C97" s="52" t="s">
        <v>59</v>
      </c>
      <c r="D97" s="54">
        <v>0.15</v>
      </c>
      <c r="E97" s="52" t="s">
        <v>60</v>
      </c>
      <c r="F97" s="21"/>
      <c r="G97" s="7" t="s">
        <v>22</v>
      </c>
      <c r="H97" s="23">
        <v>21522.080836012901</v>
      </c>
      <c r="I97" s="23">
        <v>21413.751649831702</v>
      </c>
      <c r="J97" s="23">
        <v>25991.552484076401</v>
      </c>
      <c r="K97" s="23">
        <v>18392.5362340426</v>
      </c>
      <c r="L97" s="23">
        <v>17075.330234869001</v>
      </c>
      <c r="M97" s="23">
        <v>14892.3771288889</v>
      </c>
      <c r="N97" s="23">
        <v>11901.511360263799</v>
      </c>
      <c r="O97" s="23">
        <v>16953.8228495763</v>
      </c>
      <c r="P97" s="23">
        <v>17310.316297985599</v>
      </c>
      <c r="Q97" s="23">
        <v>18086.7187677371</v>
      </c>
      <c r="R97" s="23">
        <v>17523.234238105699</v>
      </c>
      <c r="S97" s="23">
        <v>15716.317230037601</v>
      </c>
    </row>
    <row r="98" spans="1:19" ht="16.95" customHeight="1" x14ac:dyDescent="0.25">
      <c r="A98" s="52"/>
      <c r="B98" s="52"/>
      <c r="C98" s="52"/>
      <c r="D98" s="54"/>
      <c r="E98" s="52"/>
      <c r="F98" s="11"/>
      <c r="G98" s="7" t="s">
        <v>23</v>
      </c>
      <c r="H98" s="23">
        <v>5733.1140270333299</v>
      </c>
      <c r="I98" s="23">
        <v>7067.9067016129002</v>
      </c>
      <c r="J98" s="23">
        <v>11970</v>
      </c>
      <c r="K98" s="23">
        <v>13092.9231887879</v>
      </c>
      <c r="L98" s="23">
        <v>13500</v>
      </c>
      <c r="M98" s="23">
        <v>11525.381286563101</v>
      </c>
      <c r="N98" s="23">
        <v>9466.2241198897209</v>
      </c>
      <c r="O98" s="23">
        <v>14594.4139665726</v>
      </c>
      <c r="P98" s="23">
        <v>15522.386646828299</v>
      </c>
      <c r="Q98" s="23">
        <v>17573.736205613299</v>
      </c>
      <c r="R98" s="23">
        <v>17752.638155590001</v>
      </c>
      <c r="S98" s="23">
        <v>16000</v>
      </c>
    </row>
    <row r="99" spans="1:19" ht="16.95" customHeight="1" x14ac:dyDescent="0.25">
      <c r="A99" s="52"/>
      <c r="B99" s="52"/>
      <c r="C99" s="52"/>
      <c r="D99" s="54"/>
      <c r="E99" s="52"/>
      <c r="F99" s="11"/>
      <c r="G99" s="7" t="s">
        <v>26</v>
      </c>
      <c r="H99" s="23">
        <f t="shared" ref="H99:S99" si="44">+H98*1.2</f>
        <v>6879.7368324399959</v>
      </c>
      <c r="I99" s="23">
        <f t="shared" si="44"/>
        <v>8481.4880419354795</v>
      </c>
      <c r="J99" s="23">
        <f t="shared" si="44"/>
        <v>14364</v>
      </c>
      <c r="K99" s="23">
        <f t="shared" si="44"/>
        <v>15711.507826545479</v>
      </c>
      <c r="L99" s="23">
        <f t="shared" si="44"/>
        <v>16200</v>
      </c>
      <c r="M99" s="23">
        <f t="shared" si="44"/>
        <v>13830.45754387572</v>
      </c>
      <c r="N99" s="23">
        <f t="shared" si="44"/>
        <v>11359.468943867665</v>
      </c>
      <c r="O99" s="23">
        <f t="shared" si="44"/>
        <v>17513.296759887118</v>
      </c>
      <c r="P99" s="23">
        <f t="shared" si="44"/>
        <v>18626.863976193959</v>
      </c>
      <c r="Q99" s="23">
        <f t="shared" si="44"/>
        <v>21088.483446735958</v>
      </c>
      <c r="R99" s="23">
        <f t="shared" si="44"/>
        <v>21303.165786707999</v>
      </c>
      <c r="S99" s="23">
        <f t="shared" si="44"/>
        <v>19200</v>
      </c>
    </row>
    <row r="100" spans="1:19" ht="16.95" customHeight="1" x14ac:dyDescent="0.25">
      <c r="A100" s="52"/>
      <c r="B100" s="52"/>
      <c r="C100" s="52"/>
      <c r="D100" s="54"/>
      <c r="E100" s="52"/>
      <c r="F100" s="11"/>
      <c r="G100" s="7" t="s">
        <v>27</v>
      </c>
      <c r="H100" s="23">
        <f t="shared" ref="H100:S100" si="45">+H98*0.84</f>
        <v>4815.8157827079967</v>
      </c>
      <c r="I100" s="23">
        <f t="shared" si="45"/>
        <v>5937.041629354836</v>
      </c>
      <c r="J100" s="23">
        <f t="shared" si="45"/>
        <v>10054.799999999999</v>
      </c>
      <c r="K100" s="23">
        <f t="shared" si="45"/>
        <v>10998.055478581835</v>
      </c>
      <c r="L100" s="23">
        <f t="shared" si="45"/>
        <v>11340</v>
      </c>
      <c r="M100" s="23">
        <f t="shared" si="45"/>
        <v>9681.3202807130037</v>
      </c>
      <c r="N100" s="23">
        <f t="shared" si="45"/>
        <v>7951.6282607073654</v>
      </c>
      <c r="O100" s="23">
        <f t="shared" si="45"/>
        <v>12259.307731920984</v>
      </c>
      <c r="P100" s="23">
        <f t="shared" si="45"/>
        <v>13038.80478333577</v>
      </c>
      <c r="Q100" s="23">
        <f t="shared" si="45"/>
        <v>14761.93841271517</v>
      </c>
      <c r="R100" s="23">
        <f t="shared" si="45"/>
        <v>14912.216050695601</v>
      </c>
      <c r="S100" s="23">
        <f t="shared" si="45"/>
        <v>13440</v>
      </c>
    </row>
    <row r="101" spans="1:19" ht="16.95" customHeight="1" x14ac:dyDescent="0.25">
      <c r="A101" s="52"/>
      <c r="B101" s="52"/>
      <c r="C101" s="52"/>
      <c r="D101" s="54"/>
      <c r="E101" s="52"/>
      <c r="F101" s="11"/>
      <c r="G101" s="7" t="s">
        <v>24</v>
      </c>
      <c r="H101" s="45">
        <f>(H98-H97)/H97</f>
        <v>-0.73361711301445764</v>
      </c>
      <c r="I101" s="45">
        <f t="shared" ref="I101:S101" si="46">(I98-I97)/I97</f>
        <v>-0.66993608512927483</v>
      </c>
      <c r="J101" s="45">
        <f t="shared" si="46"/>
        <v>-0.53946575498584159</v>
      </c>
      <c r="K101" s="45">
        <f t="shared" si="46"/>
        <v>-0.28813932879173504</v>
      </c>
      <c r="L101" s="45">
        <f t="shared" si="46"/>
        <v>-0.2093857152799265</v>
      </c>
      <c r="M101" s="45">
        <f t="shared" si="46"/>
        <v>-0.22608854269439296</v>
      </c>
      <c r="N101" s="45">
        <f t="shared" si="46"/>
        <v>-0.20461999880997467</v>
      </c>
      <c r="O101" s="45">
        <f t="shared" si="46"/>
        <v>-0.13916677695276644</v>
      </c>
      <c r="P101" s="45">
        <f t="shared" si="46"/>
        <v>-0.10328694290614208</v>
      </c>
      <c r="Q101" s="45">
        <f t="shared" si="46"/>
        <v>-2.8362389480996099E-2</v>
      </c>
      <c r="R101" s="45">
        <f t="shared" si="46"/>
        <v>1.3091414197126033E-2</v>
      </c>
      <c r="S101" s="45">
        <f t="shared" si="46"/>
        <v>1.8050206407148248E-2</v>
      </c>
    </row>
    <row r="102" spans="1:19" ht="16.95" customHeight="1" x14ac:dyDescent="0.25">
      <c r="A102" s="52"/>
      <c r="B102" s="52"/>
      <c r="C102" s="52"/>
      <c r="D102" s="54"/>
      <c r="E102" s="52"/>
      <c r="F102" s="11"/>
      <c r="G102" s="16" t="s">
        <v>134</v>
      </c>
      <c r="H102" s="24"/>
      <c r="I102" s="24"/>
      <c r="J102" s="24"/>
      <c r="K102" s="24">
        <v>9934</v>
      </c>
      <c r="L102" s="24">
        <v>10263.15</v>
      </c>
      <c r="M102" s="24">
        <v>6940</v>
      </c>
      <c r="N102" s="24">
        <v>5509</v>
      </c>
      <c r="O102" s="24"/>
      <c r="P102" s="24"/>
      <c r="Q102" s="24"/>
      <c r="R102" s="24"/>
      <c r="S102" s="24"/>
    </row>
    <row r="103" spans="1:19" ht="16.95" customHeight="1" x14ac:dyDescent="0.25">
      <c r="A103" s="52"/>
      <c r="B103" s="52"/>
      <c r="C103" s="52"/>
      <c r="D103" s="54"/>
      <c r="E103" s="52"/>
      <c r="F103" s="11"/>
      <c r="G103" s="18" t="s">
        <v>135</v>
      </c>
      <c r="H103" s="22"/>
      <c r="I103" s="22"/>
      <c r="J103" s="22"/>
      <c r="K103" s="19">
        <f>IFERROR(K102/K98,"")</f>
        <v>0.75873048797131581</v>
      </c>
      <c r="L103" s="19">
        <f>IFERROR(L102/L98,"")</f>
        <v>0.76023333333333332</v>
      </c>
      <c r="M103" s="19">
        <f>IFERROR(M102/M98,"")</f>
        <v>0.60214927623184311</v>
      </c>
      <c r="N103" s="19">
        <f>IFERROR(N102/N98,"")</f>
        <v>0.58196382530442126</v>
      </c>
      <c r="O103" s="22"/>
      <c r="P103" s="22"/>
      <c r="Q103" s="22"/>
      <c r="R103" s="22"/>
      <c r="S103" s="22"/>
    </row>
    <row r="104" spans="1:19" ht="16.95" customHeight="1" x14ac:dyDescent="0.25">
      <c r="A104" s="52" t="s">
        <v>1</v>
      </c>
      <c r="B104" s="52" t="s">
        <v>61</v>
      </c>
      <c r="C104" s="52" t="s">
        <v>62</v>
      </c>
      <c r="D104" s="54">
        <v>0.1</v>
      </c>
      <c r="E104" s="52" t="s">
        <v>137</v>
      </c>
      <c r="F104" s="21"/>
      <c r="G104" s="7" t="s">
        <v>22</v>
      </c>
      <c r="H104" s="48">
        <v>328</v>
      </c>
      <c r="I104" s="48">
        <v>328</v>
      </c>
      <c r="J104" s="48">
        <v>328</v>
      </c>
      <c r="K104" s="48">
        <v>980</v>
      </c>
      <c r="L104" s="48">
        <v>1151</v>
      </c>
      <c r="M104" s="48">
        <v>1187</v>
      </c>
      <c r="N104" s="48">
        <v>1320</v>
      </c>
      <c r="O104" s="48">
        <v>1985</v>
      </c>
      <c r="P104" s="48">
        <v>2742</v>
      </c>
      <c r="Q104" s="48">
        <v>4228</v>
      </c>
      <c r="R104" s="48">
        <v>4879</v>
      </c>
      <c r="S104" s="48">
        <v>5492</v>
      </c>
    </row>
    <row r="105" spans="1:19" ht="16.95" customHeight="1" x14ac:dyDescent="0.25">
      <c r="A105" s="52"/>
      <c r="B105" s="52"/>
      <c r="C105" s="52"/>
      <c r="D105" s="54"/>
      <c r="E105" s="52"/>
      <c r="F105" s="11"/>
      <c r="G105" s="7" t="s">
        <v>23</v>
      </c>
      <c r="H105" s="48">
        <v>5426</v>
      </c>
      <c r="I105" s="48">
        <v>6582</v>
      </c>
      <c r="J105" s="48">
        <v>6600</v>
      </c>
      <c r="K105" s="48">
        <v>7747.5</v>
      </c>
      <c r="L105" s="48">
        <v>8868</v>
      </c>
      <c r="M105" s="48">
        <v>9865.5</v>
      </c>
      <c r="N105" s="48">
        <v>10770.5</v>
      </c>
      <c r="O105" s="48">
        <v>12034.5</v>
      </c>
      <c r="P105" s="48">
        <v>13472</v>
      </c>
      <c r="Q105" s="48">
        <v>14811</v>
      </c>
      <c r="R105" s="48">
        <v>16040</v>
      </c>
      <c r="S105" s="48">
        <v>17169</v>
      </c>
    </row>
    <row r="106" spans="1:19" ht="16.95" customHeight="1" x14ac:dyDescent="0.25">
      <c r="A106" s="52"/>
      <c r="B106" s="52"/>
      <c r="C106" s="52"/>
      <c r="D106" s="54"/>
      <c r="E106" s="52"/>
      <c r="F106" s="11"/>
      <c r="G106" s="7" t="s">
        <v>26</v>
      </c>
      <c r="H106" s="48"/>
      <c r="I106" s="48"/>
      <c r="J106" s="48">
        <f t="shared" ref="J106:S106" si="47">+J105*1.2</f>
        <v>7920</v>
      </c>
      <c r="K106" s="48">
        <f t="shared" si="47"/>
        <v>9297</v>
      </c>
      <c r="L106" s="48">
        <f t="shared" si="47"/>
        <v>10641.6</v>
      </c>
      <c r="M106" s="48">
        <f t="shared" si="47"/>
        <v>11838.6</v>
      </c>
      <c r="N106" s="48">
        <f t="shared" si="47"/>
        <v>12924.6</v>
      </c>
      <c r="O106" s="48">
        <f t="shared" si="47"/>
        <v>14441.4</v>
      </c>
      <c r="P106" s="48">
        <f t="shared" si="47"/>
        <v>16166.4</v>
      </c>
      <c r="Q106" s="48">
        <f t="shared" si="47"/>
        <v>17773.2</v>
      </c>
      <c r="R106" s="48">
        <f t="shared" si="47"/>
        <v>19248</v>
      </c>
      <c r="S106" s="48">
        <f t="shared" si="47"/>
        <v>20602.8</v>
      </c>
    </row>
    <row r="107" spans="1:19" ht="16.95" customHeight="1" x14ac:dyDescent="0.25">
      <c r="A107" s="52"/>
      <c r="B107" s="52"/>
      <c r="C107" s="52"/>
      <c r="D107" s="54"/>
      <c r="E107" s="52"/>
      <c r="F107" s="11"/>
      <c r="G107" s="7" t="s">
        <v>27</v>
      </c>
      <c r="H107" s="48"/>
      <c r="I107" s="48"/>
      <c r="J107" s="48">
        <f>+J105*0.84</f>
        <v>5544</v>
      </c>
      <c r="K107" s="48">
        <f t="shared" ref="K107:S107" si="48">+K105*0.84</f>
        <v>6507.9</v>
      </c>
      <c r="L107" s="48">
        <f t="shared" si="48"/>
        <v>7449.12</v>
      </c>
      <c r="M107" s="48">
        <f t="shared" si="48"/>
        <v>8287.02</v>
      </c>
      <c r="N107" s="48">
        <f t="shared" si="48"/>
        <v>9047.2199999999993</v>
      </c>
      <c r="O107" s="48">
        <f t="shared" si="48"/>
        <v>10108.98</v>
      </c>
      <c r="P107" s="48">
        <f t="shared" si="48"/>
        <v>11316.48</v>
      </c>
      <c r="Q107" s="48">
        <f t="shared" si="48"/>
        <v>12441.24</v>
      </c>
      <c r="R107" s="48">
        <f t="shared" si="48"/>
        <v>13473.6</v>
      </c>
      <c r="S107" s="48">
        <f t="shared" si="48"/>
        <v>14421.96</v>
      </c>
    </row>
    <row r="108" spans="1:19" ht="16.95" customHeight="1" x14ac:dyDescent="0.25">
      <c r="A108" s="52"/>
      <c r="B108" s="52"/>
      <c r="C108" s="52"/>
      <c r="D108" s="54"/>
      <c r="E108" s="52"/>
      <c r="F108" s="11"/>
      <c r="G108" s="7" t="s">
        <v>24</v>
      </c>
      <c r="H108" s="45">
        <f>(H105-H104)/H104</f>
        <v>15.542682926829269</v>
      </c>
      <c r="I108" s="45">
        <f t="shared" ref="I108:S108" si="49">(I105-I104)/I104</f>
        <v>19.067073170731707</v>
      </c>
      <c r="J108" s="45">
        <f t="shared" si="49"/>
        <v>19.121951219512194</v>
      </c>
      <c r="K108" s="45">
        <f t="shared" si="49"/>
        <v>6.9056122448979593</v>
      </c>
      <c r="L108" s="45">
        <f t="shared" si="49"/>
        <v>6.7046046915725457</v>
      </c>
      <c r="M108" s="45">
        <f t="shared" si="49"/>
        <v>7.3112889637742207</v>
      </c>
      <c r="N108" s="45">
        <f t="shared" si="49"/>
        <v>7.1594696969696967</v>
      </c>
      <c r="O108" s="45">
        <f t="shared" si="49"/>
        <v>5.06272040302267</v>
      </c>
      <c r="P108" s="45">
        <f t="shared" si="49"/>
        <v>3.9132020423048868</v>
      </c>
      <c r="Q108" s="45">
        <f t="shared" si="49"/>
        <v>2.5030747398297066</v>
      </c>
      <c r="R108" s="45">
        <f t="shared" si="49"/>
        <v>2.287558926009428</v>
      </c>
      <c r="S108" s="45">
        <f t="shared" si="49"/>
        <v>2.1261835396941007</v>
      </c>
    </row>
    <row r="109" spans="1:19" ht="16.95" customHeight="1" x14ac:dyDescent="0.25">
      <c r="A109" s="52"/>
      <c r="B109" s="52"/>
      <c r="C109" s="52"/>
      <c r="D109" s="54"/>
      <c r="E109" s="52"/>
      <c r="F109" s="11"/>
      <c r="G109" s="16" t="s">
        <v>134</v>
      </c>
      <c r="H109" s="31"/>
      <c r="I109" s="31"/>
      <c r="J109" s="31"/>
      <c r="K109" s="50">
        <v>7467</v>
      </c>
      <c r="L109" s="50">
        <v>8125</v>
      </c>
      <c r="M109" s="50">
        <v>9005</v>
      </c>
      <c r="N109" s="50">
        <v>9752</v>
      </c>
      <c r="O109" s="31"/>
      <c r="P109" s="31"/>
      <c r="Q109" s="31"/>
      <c r="R109" s="31"/>
      <c r="S109" s="31"/>
    </row>
    <row r="110" spans="1:19" ht="16.95" customHeight="1" x14ac:dyDescent="0.25">
      <c r="A110" s="52"/>
      <c r="B110" s="52"/>
      <c r="C110" s="52"/>
      <c r="D110" s="54"/>
      <c r="E110" s="52"/>
      <c r="F110" s="11"/>
      <c r="G110" s="18" t="s">
        <v>135</v>
      </c>
      <c r="H110" s="22"/>
      <c r="I110" s="22"/>
      <c r="J110" s="22"/>
      <c r="K110" s="19">
        <f>IFERROR(K109/K105,"")</f>
        <v>0.96379477250726042</v>
      </c>
      <c r="L110" s="19">
        <f>IFERROR(L109/L105,"")</f>
        <v>0.91621560667568791</v>
      </c>
      <c r="M110" s="19">
        <f>IFERROR(M109/M105,"")</f>
        <v>0.91277684861385633</v>
      </c>
      <c r="N110" s="19">
        <f>IFERROR(N109/N105,"")</f>
        <v>0.90543614502576486</v>
      </c>
      <c r="O110" s="22"/>
      <c r="P110" s="22"/>
      <c r="Q110" s="22"/>
      <c r="R110" s="22"/>
      <c r="S110" s="22"/>
    </row>
    <row r="111" spans="1:19" ht="16.95" customHeight="1" x14ac:dyDescent="0.25">
      <c r="A111" s="52" t="s">
        <v>1</v>
      </c>
      <c r="B111" s="52" t="s">
        <v>63</v>
      </c>
      <c r="C111" s="52" t="s">
        <v>64</v>
      </c>
      <c r="D111" s="54">
        <v>0.2</v>
      </c>
      <c r="E111" s="52" t="s">
        <v>65</v>
      </c>
      <c r="F111" s="11"/>
      <c r="G111" s="7" t="s">
        <v>22</v>
      </c>
      <c r="H111" s="15"/>
      <c r="I111" s="45">
        <v>0.36333333333333301</v>
      </c>
      <c r="J111" s="45">
        <v>0.16831683168316799</v>
      </c>
      <c r="K111" s="45">
        <v>0.37953795379538002</v>
      </c>
      <c r="L111" s="45">
        <v>0.31023102310230999</v>
      </c>
      <c r="M111" s="45">
        <v>0.39759036144578302</v>
      </c>
      <c r="N111" s="45">
        <v>0.51022304832713705</v>
      </c>
      <c r="O111" s="45">
        <v>0.21911632100991901</v>
      </c>
      <c r="P111" s="45">
        <v>0.22411003236245999</v>
      </c>
      <c r="Q111" s="45">
        <v>0.24570815450643799</v>
      </c>
      <c r="R111" s="45">
        <v>0.32145653876272501</v>
      </c>
      <c r="S111" s="45">
        <v>0.40958939046161702</v>
      </c>
    </row>
    <row r="112" spans="1:19" ht="16.95" customHeight="1" x14ac:dyDescent="0.25">
      <c r="A112" s="52"/>
      <c r="B112" s="52"/>
      <c r="C112" s="52"/>
      <c r="D112" s="54"/>
      <c r="E112" s="52"/>
      <c r="F112" s="11"/>
      <c r="G112" s="7" t="s">
        <v>23</v>
      </c>
      <c r="H112" s="15"/>
      <c r="I112" s="45">
        <v>0.32700000000000001</v>
      </c>
      <c r="J112" s="45">
        <v>0.15148514851485201</v>
      </c>
      <c r="K112" s="45">
        <v>0.341584158415842</v>
      </c>
      <c r="L112" s="45">
        <v>0.294719471947195</v>
      </c>
      <c r="M112" s="45">
        <v>0.369759036144578</v>
      </c>
      <c r="N112" s="45">
        <v>0.46430297397769499</v>
      </c>
      <c r="O112" s="45">
        <v>0.19501352569882799</v>
      </c>
      <c r="P112" s="45">
        <v>0.19721682847896399</v>
      </c>
      <c r="Q112" s="45">
        <v>0.21376609442060099</v>
      </c>
      <c r="R112" s="45">
        <v>0.27323805794831602</v>
      </c>
      <c r="S112" s="45">
        <v>0.34815098189237398</v>
      </c>
    </row>
    <row r="113" spans="1:19" ht="16.95" customHeight="1" x14ac:dyDescent="0.25">
      <c r="A113" s="52"/>
      <c r="B113" s="52"/>
      <c r="C113" s="52"/>
      <c r="D113" s="54"/>
      <c r="E113" s="52"/>
      <c r="F113" s="11"/>
      <c r="G113" s="7" t="s">
        <v>26</v>
      </c>
      <c r="H113" s="15"/>
      <c r="I113" s="45"/>
      <c r="J113" s="45"/>
      <c r="K113" s="45"/>
      <c r="L113" s="45">
        <f>+L112-0.3%*10</f>
        <v>0.26471947194719503</v>
      </c>
      <c r="M113" s="45">
        <f t="shared" ref="M113:S113" si="50">+M112-0.3%*10</f>
        <v>0.33975903614457803</v>
      </c>
      <c r="N113" s="45">
        <f t="shared" si="50"/>
        <v>0.43430297397769502</v>
      </c>
      <c r="O113" s="45">
        <f t="shared" si="50"/>
        <v>0.16501352569882799</v>
      </c>
      <c r="P113" s="45">
        <f t="shared" si="50"/>
        <v>0.16721682847896399</v>
      </c>
      <c r="Q113" s="45">
        <f t="shared" si="50"/>
        <v>0.18376609442060099</v>
      </c>
      <c r="R113" s="45">
        <f t="shared" si="50"/>
        <v>0.24323805794831602</v>
      </c>
      <c r="S113" s="45">
        <f t="shared" si="50"/>
        <v>0.31815098189237401</v>
      </c>
    </row>
    <row r="114" spans="1:19" ht="16.95" customHeight="1" x14ac:dyDescent="0.25">
      <c r="A114" s="52"/>
      <c r="B114" s="52"/>
      <c r="C114" s="52"/>
      <c r="D114" s="54"/>
      <c r="E114" s="52"/>
      <c r="F114" s="11"/>
      <c r="G114" s="7" t="s">
        <v>27</v>
      </c>
      <c r="H114" s="15"/>
      <c r="I114" s="45"/>
      <c r="J114" s="45"/>
      <c r="K114" s="45"/>
      <c r="L114" s="45">
        <f>+L112+0.3%*8</f>
        <v>0.31871947194719502</v>
      </c>
      <c r="M114" s="45">
        <f t="shared" ref="M114:S114" si="51">+M112+0.3%*8</f>
        <v>0.39375903614457802</v>
      </c>
      <c r="N114" s="45">
        <f t="shared" si="51"/>
        <v>0.48830297397769501</v>
      </c>
      <c r="O114" s="45">
        <f t="shared" si="51"/>
        <v>0.21901352569882798</v>
      </c>
      <c r="P114" s="45">
        <f t="shared" si="51"/>
        <v>0.22121682847896398</v>
      </c>
      <c r="Q114" s="45">
        <f t="shared" si="51"/>
        <v>0.23776609442060098</v>
      </c>
      <c r="R114" s="45">
        <f t="shared" si="51"/>
        <v>0.29723805794831604</v>
      </c>
      <c r="S114" s="45">
        <f t="shared" si="51"/>
        <v>0.372150981892374</v>
      </c>
    </row>
    <row r="115" spans="1:19" ht="16.95" customHeight="1" x14ac:dyDescent="0.25">
      <c r="A115" s="52"/>
      <c r="B115" s="52"/>
      <c r="C115" s="52"/>
      <c r="D115" s="54"/>
      <c r="E115" s="52"/>
      <c r="F115" s="11"/>
      <c r="G115" s="7" t="s">
        <v>24</v>
      </c>
      <c r="H115" s="15"/>
      <c r="I115" s="45">
        <f>(I112-I111)/I111</f>
        <v>-9.9999999999999159E-2</v>
      </c>
      <c r="J115" s="45">
        <f t="shared" ref="J115:S115" si="52">(J112-J111)/J111</f>
        <v>-9.9999999999995162E-2</v>
      </c>
      <c r="K115" s="45">
        <f t="shared" si="52"/>
        <v>-0.10000000000000006</v>
      </c>
      <c r="L115" s="45">
        <f t="shared" si="52"/>
        <v>-4.9999999999998351E-2</v>
      </c>
      <c r="M115" s="45">
        <f t="shared" si="52"/>
        <v>-7.0000000000000534E-2</v>
      </c>
      <c r="N115" s="45">
        <f t="shared" si="52"/>
        <v>-8.9999999999999469E-2</v>
      </c>
      <c r="O115" s="45">
        <f t="shared" si="52"/>
        <v>-0.1099999999999997</v>
      </c>
      <c r="P115" s="45">
        <f t="shared" si="52"/>
        <v>-0.12000000000000359</v>
      </c>
      <c r="Q115" s="45">
        <f t="shared" si="52"/>
        <v>-0.13000000000000025</v>
      </c>
      <c r="R115" s="45">
        <f t="shared" si="52"/>
        <v>-0.15000000000000074</v>
      </c>
      <c r="S115" s="45">
        <f t="shared" si="52"/>
        <v>-0.15000000000000119</v>
      </c>
    </row>
    <row r="116" spans="1:19" ht="16.95" customHeight="1" x14ac:dyDescent="0.25">
      <c r="A116" s="52"/>
      <c r="B116" s="52"/>
      <c r="C116" s="52"/>
      <c r="D116" s="54"/>
      <c r="E116" s="52"/>
      <c r="F116" s="11"/>
      <c r="G116" s="16" t="s">
        <v>134</v>
      </c>
      <c r="H116" s="19"/>
      <c r="I116" s="27"/>
      <c r="J116" s="27"/>
      <c r="K116" s="19">
        <v>0.36</v>
      </c>
      <c r="L116" s="19">
        <v>0.38</v>
      </c>
      <c r="M116" s="19">
        <v>0.53</v>
      </c>
      <c r="N116" s="19">
        <v>0.48830000000000001</v>
      </c>
      <c r="O116" s="27"/>
      <c r="P116" s="27"/>
      <c r="Q116" s="27"/>
      <c r="R116" s="27"/>
      <c r="S116" s="27"/>
    </row>
    <row r="117" spans="1:19" ht="16.95" customHeight="1" x14ac:dyDescent="0.25">
      <c r="A117" s="52"/>
      <c r="B117" s="52"/>
      <c r="C117" s="52"/>
      <c r="D117" s="54"/>
      <c r="E117" s="52"/>
      <c r="F117" s="11"/>
      <c r="G117" s="18" t="s">
        <v>135</v>
      </c>
      <c r="H117" s="19"/>
      <c r="I117" s="19"/>
      <c r="J117" s="19"/>
      <c r="K117" s="19">
        <f>IFERROR(2-K116/K112,"")</f>
        <v>0.94608695652174046</v>
      </c>
      <c r="L117" s="19">
        <f>IFERROR(2-L116/L112,"")</f>
        <v>0.71063829787234156</v>
      </c>
      <c r="M117" s="19">
        <f>IFERROR(2-M116/M112,"")</f>
        <v>0.56663408276311378</v>
      </c>
      <c r="N117" s="19">
        <f>IFERROR(2-N116/N112,"")</f>
        <v>0.94831601913569075</v>
      </c>
      <c r="O117" s="19"/>
      <c r="P117" s="19"/>
      <c r="Q117" s="19"/>
      <c r="R117" s="19"/>
      <c r="S117" s="19"/>
    </row>
    <row r="118" spans="1:19" ht="16.95" customHeight="1" x14ac:dyDescent="0.25">
      <c r="A118" s="52" t="s">
        <v>1</v>
      </c>
      <c r="B118" s="52" t="s">
        <v>66</v>
      </c>
      <c r="C118" s="52" t="s">
        <v>67</v>
      </c>
      <c r="D118" s="54">
        <v>0.2</v>
      </c>
      <c r="E118" s="52" t="s">
        <v>36</v>
      </c>
      <c r="F118" s="21"/>
      <c r="G118" s="7" t="s">
        <v>22</v>
      </c>
      <c r="H118" s="4">
        <v>5.3126804858018798E-3</v>
      </c>
      <c r="I118" s="4">
        <v>2.1953380222262901E-3</v>
      </c>
      <c r="J118" s="4">
        <v>1.9803665761492502E-3</v>
      </c>
      <c r="K118" s="4">
        <v>2.3397460312491901E-3</v>
      </c>
      <c r="L118" s="4">
        <v>2.8692239926222198E-3</v>
      </c>
      <c r="M118" s="4">
        <v>3.6579465299321498E-3</v>
      </c>
      <c r="N118" s="4">
        <v>5.4930410340382797E-3</v>
      </c>
      <c r="O118" s="4">
        <v>2.5521836414248902E-3</v>
      </c>
      <c r="P118" s="4">
        <v>2.9078972805935402E-3</v>
      </c>
      <c r="Q118" s="4">
        <v>2.9481047069928601E-3</v>
      </c>
      <c r="R118" s="4">
        <v>2.9301353711283099E-3</v>
      </c>
      <c r="S118" s="4">
        <v>4.4636230594191102E-3</v>
      </c>
    </row>
    <row r="119" spans="1:19" ht="16.95" customHeight="1" x14ac:dyDescent="0.25">
      <c r="A119" s="52"/>
      <c r="B119" s="52"/>
      <c r="C119" s="52"/>
      <c r="D119" s="54"/>
      <c r="E119" s="52"/>
      <c r="F119" s="11"/>
      <c r="G119" s="7" t="s">
        <v>23</v>
      </c>
      <c r="H119" s="4">
        <v>1.15193046216783E-2</v>
      </c>
      <c r="I119" s="4">
        <v>4.6747350507947696E-3</v>
      </c>
      <c r="J119" s="4">
        <v>3.2570682225360899E-3</v>
      </c>
      <c r="K119" s="4">
        <v>2.9037660110359598E-3</v>
      </c>
      <c r="L119" s="4">
        <v>3.3511882279084202E-3</v>
      </c>
      <c r="M119" s="4">
        <v>3.6938545512261202E-3</v>
      </c>
      <c r="N119" s="4">
        <v>4.6239311700659201E-3</v>
      </c>
      <c r="O119" s="4">
        <v>3.6996340607099998E-3</v>
      </c>
      <c r="P119" s="4">
        <v>3.3207414419368099E-3</v>
      </c>
      <c r="Q119" s="4">
        <v>3.2619764156562999E-3</v>
      </c>
      <c r="R119" s="4">
        <v>3.1351138511832299E-3</v>
      </c>
      <c r="S119" s="4">
        <v>3.20809267494846E-3</v>
      </c>
    </row>
    <row r="120" spans="1:19" ht="16.95" customHeight="1" x14ac:dyDescent="0.25">
      <c r="A120" s="52"/>
      <c r="B120" s="52"/>
      <c r="C120" s="52"/>
      <c r="D120" s="54"/>
      <c r="E120" s="52"/>
      <c r="F120" s="11"/>
      <c r="G120" s="7" t="s">
        <v>26</v>
      </c>
      <c r="H120" s="4"/>
      <c r="I120" s="4"/>
      <c r="J120" s="4"/>
      <c r="K120" s="45">
        <f>+K119*(1-3%*10)</f>
        <v>2.0326362077251717E-3</v>
      </c>
      <c r="L120" s="45">
        <f t="shared" ref="L120:S120" si="53">+L119*(1-3%*10)</f>
        <v>2.3458317595358939E-3</v>
      </c>
      <c r="M120" s="45">
        <f t="shared" si="53"/>
        <v>2.585698185858284E-3</v>
      </c>
      <c r="N120" s="45">
        <f t="shared" si="53"/>
        <v>3.2367518190461438E-3</v>
      </c>
      <c r="O120" s="45">
        <f t="shared" si="53"/>
        <v>2.5897438424969995E-3</v>
      </c>
      <c r="P120" s="45">
        <f t="shared" si="53"/>
        <v>2.3245190093557667E-3</v>
      </c>
      <c r="Q120" s="45">
        <f t="shared" si="53"/>
        <v>2.2833834909594098E-3</v>
      </c>
      <c r="R120" s="45">
        <f t="shared" si="53"/>
        <v>2.1945796958282608E-3</v>
      </c>
      <c r="S120" s="45">
        <f t="shared" si="53"/>
        <v>2.2456648724639219E-3</v>
      </c>
    </row>
    <row r="121" spans="1:19" ht="16.95" customHeight="1" x14ac:dyDescent="0.25">
      <c r="A121" s="52"/>
      <c r="B121" s="52"/>
      <c r="C121" s="52"/>
      <c r="D121" s="54"/>
      <c r="E121" s="52"/>
      <c r="F121" s="11"/>
      <c r="G121" s="7" t="s">
        <v>27</v>
      </c>
      <c r="H121" s="4"/>
      <c r="I121" s="4"/>
      <c r="J121" s="4"/>
      <c r="K121" s="45">
        <f>+K119*(1+3%*8)</f>
        <v>3.60066985368459E-3</v>
      </c>
      <c r="L121" s="45">
        <f t="shared" ref="L121:S121" si="54">+L119*(1+3%*8)</f>
        <v>4.155473402606441E-3</v>
      </c>
      <c r="M121" s="45">
        <f t="shared" si="54"/>
        <v>4.5803796435203888E-3</v>
      </c>
      <c r="N121" s="45">
        <f t="shared" si="54"/>
        <v>5.7336746508817411E-3</v>
      </c>
      <c r="O121" s="45">
        <f t="shared" si="54"/>
        <v>4.5875462352803998E-3</v>
      </c>
      <c r="P121" s="45">
        <f t="shared" si="54"/>
        <v>4.1177193880016444E-3</v>
      </c>
      <c r="Q121" s="45">
        <f t="shared" si="54"/>
        <v>4.0448507554138122E-3</v>
      </c>
      <c r="R121" s="45">
        <f t="shared" si="54"/>
        <v>3.887541175467205E-3</v>
      </c>
      <c r="S121" s="45">
        <f t="shared" si="54"/>
        <v>3.9780349169360905E-3</v>
      </c>
    </row>
    <row r="122" spans="1:19" ht="16.95" customHeight="1" x14ac:dyDescent="0.25">
      <c r="A122" s="52"/>
      <c r="B122" s="52"/>
      <c r="C122" s="52"/>
      <c r="D122" s="54"/>
      <c r="E122" s="52"/>
      <c r="F122" s="11"/>
      <c r="G122" s="7" t="s">
        <v>24</v>
      </c>
      <c r="H122" s="45">
        <f>(H119-H118)/H118</f>
        <v>1.1682660292602955</v>
      </c>
      <c r="I122" s="45">
        <f t="shared" ref="I122:R122" si="55">(I119-I118)/I118</f>
        <v>1.1293919220941318</v>
      </c>
      <c r="J122" s="45">
        <f t="shared" si="55"/>
        <v>0.64467945569417717</v>
      </c>
      <c r="K122" s="45">
        <f t="shared" si="55"/>
        <v>0.24106034255591388</v>
      </c>
      <c r="L122" s="45">
        <f t="shared" si="55"/>
        <v>0.167977207957796</v>
      </c>
      <c r="M122" s="45">
        <f t="shared" si="55"/>
        <v>9.8164423673618873E-3</v>
      </c>
      <c r="N122" s="45">
        <f t="shared" si="55"/>
        <v>-0.15822016594939259</v>
      </c>
      <c r="O122" s="45">
        <f t="shared" si="55"/>
        <v>0.44959555443450977</v>
      </c>
      <c r="P122" s="45">
        <f t="shared" si="55"/>
        <v>0.14197343355230307</v>
      </c>
      <c r="Q122" s="45">
        <f t="shared" si="55"/>
        <v>0.10646559056024736</v>
      </c>
      <c r="R122" s="45">
        <f t="shared" si="55"/>
        <v>6.9955293559010145E-2</v>
      </c>
      <c r="S122" s="45">
        <f>(S119-S118)/S118</f>
        <v>-0.28128055791387618</v>
      </c>
    </row>
    <row r="123" spans="1:19" ht="16.95" customHeight="1" x14ac:dyDescent="0.25">
      <c r="A123" s="52"/>
      <c r="B123" s="52"/>
      <c r="C123" s="52"/>
      <c r="D123" s="54"/>
      <c r="E123" s="52"/>
      <c r="F123" s="11"/>
      <c r="G123" s="16" t="s">
        <v>134</v>
      </c>
      <c r="H123" s="30"/>
      <c r="I123" s="30"/>
      <c r="J123" s="30"/>
      <c r="K123" s="26">
        <v>3.7300922237558098E-3</v>
      </c>
      <c r="L123" s="26">
        <v>3.71670483740237E-3</v>
      </c>
      <c r="M123" s="26">
        <v>5.0089100000000001E-3</v>
      </c>
      <c r="N123" s="30"/>
      <c r="O123" s="30"/>
      <c r="P123" s="30"/>
      <c r="Q123" s="30"/>
      <c r="R123" s="30"/>
      <c r="S123" s="30"/>
    </row>
    <row r="124" spans="1:19" ht="16.95" customHeight="1" x14ac:dyDescent="0.25">
      <c r="A124" s="52"/>
      <c r="B124" s="52"/>
      <c r="C124" s="52"/>
      <c r="D124" s="54"/>
      <c r="E124" s="52"/>
      <c r="F124" s="11"/>
      <c r="G124" s="18" t="s">
        <v>135</v>
      </c>
      <c r="H124" s="22"/>
      <c r="I124" s="22"/>
      <c r="J124" s="22"/>
      <c r="K124" s="19">
        <f>IFERROR(2-K123/K119,"")</f>
        <v>0.71542947690022496</v>
      </c>
      <c r="L124" s="19">
        <f>IFERROR(2-L123/L119,"")</f>
        <v>0.8909292511682998</v>
      </c>
      <c r="M124" s="19">
        <f>IFERROR(2-M123/M119,"")</f>
        <v>0.64398829717391903</v>
      </c>
      <c r="N124" s="22"/>
      <c r="O124" s="22"/>
      <c r="P124" s="22"/>
      <c r="Q124" s="22"/>
      <c r="R124" s="22"/>
      <c r="S124" s="22"/>
    </row>
    <row r="125" spans="1:19" ht="16.95" customHeight="1" x14ac:dyDescent="0.25">
      <c r="A125" s="53" t="s">
        <v>68</v>
      </c>
      <c r="B125" s="53" t="s">
        <v>69</v>
      </c>
      <c r="C125" s="53" t="s">
        <v>70</v>
      </c>
      <c r="D125" s="56">
        <v>0.3</v>
      </c>
      <c r="E125" s="53" t="s">
        <v>36</v>
      </c>
      <c r="F125" s="32"/>
      <c r="G125" s="7" t="s">
        <v>22</v>
      </c>
      <c r="H125" s="15">
        <v>9.1752099057140796E-2</v>
      </c>
      <c r="I125" s="15">
        <v>6.0227629058195301E-2</v>
      </c>
      <c r="J125" s="15">
        <v>4.8995286931250603E-2</v>
      </c>
      <c r="K125" s="15">
        <v>6.0300076078624497E-2</v>
      </c>
      <c r="L125" s="15">
        <v>6.3419931656878897E-2</v>
      </c>
      <c r="M125" s="15">
        <v>8.2047979072585195E-2</v>
      </c>
      <c r="N125" s="15">
        <v>0.11316444266315499</v>
      </c>
      <c r="O125" s="15">
        <v>6.11073897572934E-2</v>
      </c>
      <c r="P125" s="15">
        <v>5.2499122976842998E-2</v>
      </c>
      <c r="Q125" s="15">
        <v>5.5211153615190002E-2</v>
      </c>
      <c r="R125" s="15">
        <v>5.6325359268330703E-2</v>
      </c>
      <c r="S125" s="15">
        <v>5.4068265366601802E-2</v>
      </c>
    </row>
    <row r="126" spans="1:19" s="20" customFormat="1" ht="16.95" customHeight="1" x14ac:dyDescent="0.25">
      <c r="A126" s="53"/>
      <c r="B126" s="53"/>
      <c r="C126" s="53"/>
      <c r="D126" s="56"/>
      <c r="E126" s="53"/>
      <c r="F126" s="32"/>
      <c r="G126" s="7" t="s">
        <v>23</v>
      </c>
      <c r="H126" s="15">
        <v>9.1375625022889206E-2</v>
      </c>
      <c r="I126" s="15">
        <v>5.6865408265109302E-2</v>
      </c>
      <c r="J126" s="15">
        <v>3.9651889786854397E-2</v>
      </c>
      <c r="K126" s="15">
        <v>4.0142322764261398E-2</v>
      </c>
      <c r="L126" s="15">
        <v>4.4521252991232697E-2</v>
      </c>
      <c r="M126" s="15">
        <v>4.6222979648637703E-2</v>
      </c>
      <c r="N126" s="15">
        <v>5.5273336656160299E-2</v>
      </c>
      <c r="O126" s="15">
        <v>4.7382497196200697E-2</v>
      </c>
      <c r="P126" s="15">
        <v>4.4911384544232998E-2</v>
      </c>
      <c r="Q126" s="15">
        <v>4.4133461641184701E-2</v>
      </c>
      <c r="R126" s="15">
        <v>4.0126510546909903E-2</v>
      </c>
      <c r="S126" s="15">
        <v>3.9154623125272202E-2</v>
      </c>
    </row>
    <row r="127" spans="1:19" s="20" customFormat="1" ht="16.95" customHeight="1" x14ac:dyDescent="0.25">
      <c r="A127" s="53"/>
      <c r="B127" s="53"/>
      <c r="C127" s="53"/>
      <c r="D127" s="56"/>
      <c r="E127" s="53"/>
      <c r="F127" s="32"/>
      <c r="G127" s="7" t="s">
        <v>26</v>
      </c>
      <c r="H127" s="15"/>
      <c r="I127" s="15"/>
      <c r="J127" s="15"/>
      <c r="K127" s="15">
        <f>+K126*(1-3%*10)</f>
        <v>2.8099625934982976E-2</v>
      </c>
      <c r="L127" s="15">
        <f t="shared" ref="L127:S127" si="56">+L126*(1-3%*10)</f>
        <v>3.1164877093862887E-2</v>
      </c>
      <c r="M127" s="15">
        <f t="shared" si="56"/>
        <v>3.2356085754046388E-2</v>
      </c>
      <c r="N127" s="15">
        <f t="shared" si="56"/>
        <v>3.8691335659312209E-2</v>
      </c>
      <c r="O127" s="15">
        <f t="shared" si="56"/>
        <v>3.3167748037340489E-2</v>
      </c>
      <c r="P127" s="15">
        <f t="shared" si="56"/>
        <v>3.1437969180963095E-2</v>
      </c>
      <c r="Q127" s="15">
        <f t="shared" si="56"/>
        <v>3.0893423148829289E-2</v>
      </c>
      <c r="R127" s="15">
        <f t="shared" si="56"/>
        <v>2.8088557382836929E-2</v>
      </c>
      <c r="S127" s="15">
        <f t="shared" si="56"/>
        <v>2.7408236187690539E-2</v>
      </c>
    </row>
    <row r="128" spans="1:19" s="20" customFormat="1" ht="16.95" customHeight="1" x14ac:dyDescent="0.25">
      <c r="A128" s="53"/>
      <c r="B128" s="53"/>
      <c r="C128" s="53"/>
      <c r="D128" s="56"/>
      <c r="E128" s="53"/>
      <c r="F128" s="32"/>
      <c r="G128" s="7" t="s">
        <v>27</v>
      </c>
      <c r="H128" s="15"/>
      <c r="I128" s="15"/>
      <c r="J128" s="15"/>
      <c r="K128" s="15">
        <f>+K126*(1+3%*8)</f>
        <v>4.9776480227684133E-2</v>
      </c>
      <c r="L128" s="15">
        <f t="shared" ref="L128:S128" si="57">+L126*(1+3%*8)</f>
        <v>5.5206353709128547E-2</v>
      </c>
      <c r="M128" s="15">
        <f t="shared" si="57"/>
        <v>5.7316494764310749E-2</v>
      </c>
      <c r="N128" s="15">
        <f t="shared" si="57"/>
        <v>6.8538937453638774E-2</v>
      </c>
      <c r="O128" s="15">
        <f t="shared" si="57"/>
        <v>5.8754296523288861E-2</v>
      </c>
      <c r="P128" s="15">
        <f t="shared" si="57"/>
        <v>5.5690116834848917E-2</v>
      </c>
      <c r="Q128" s="15">
        <f t="shared" si="57"/>
        <v>5.472549243506903E-2</v>
      </c>
      <c r="R128" s="15">
        <f t="shared" si="57"/>
        <v>4.9756873078168277E-2</v>
      </c>
      <c r="S128" s="15">
        <f t="shared" si="57"/>
        <v>4.8551732675337529E-2</v>
      </c>
    </row>
    <row r="129" spans="1:19" s="20" customFormat="1" ht="16.95" customHeight="1" x14ac:dyDescent="0.25">
      <c r="A129" s="53"/>
      <c r="B129" s="53"/>
      <c r="C129" s="53"/>
      <c r="D129" s="56"/>
      <c r="E129" s="53"/>
      <c r="F129" s="32"/>
      <c r="G129" s="25" t="s">
        <v>24</v>
      </c>
      <c r="H129" s="45">
        <f>(H126-H125)/H125</f>
        <v>-4.1031653566544696E-3</v>
      </c>
      <c r="I129" s="45">
        <f t="shared" ref="I129:R129" si="58">(I126-I125)/I125</f>
        <v>-5.5825222504396331E-2</v>
      </c>
      <c r="J129" s="45">
        <f t="shared" si="58"/>
        <v>-0.19069991686152815</v>
      </c>
      <c r="K129" s="45">
        <f t="shared" si="58"/>
        <v>-0.33429067797658601</v>
      </c>
      <c r="L129" s="45">
        <f t="shared" si="58"/>
        <v>-0.29799273149478928</v>
      </c>
      <c r="M129" s="45">
        <f t="shared" si="58"/>
        <v>-0.43663475723459649</v>
      </c>
      <c r="N129" s="45">
        <f t="shared" si="58"/>
        <v>-0.51156621854545969</v>
      </c>
      <c r="O129" s="45">
        <f t="shared" si="58"/>
        <v>-0.22460282816211413</v>
      </c>
      <c r="P129" s="45">
        <f t="shared" si="58"/>
        <v>-0.14453076551310962</v>
      </c>
      <c r="Q129" s="45">
        <f t="shared" si="58"/>
        <v>-0.20064228418798233</v>
      </c>
      <c r="R129" s="45">
        <f t="shared" si="58"/>
        <v>-0.28759423698037034</v>
      </c>
      <c r="S129" s="45">
        <f>(S126-S125)/S125</f>
        <v>-0.27582986323326403</v>
      </c>
    </row>
    <row r="130" spans="1:19" s="20" customFormat="1" ht="16.95" customHeight="1" x14ac:dyDescent="0.25">
      <c r="A130" s="53"/>
      <c r="B130" s="53"/>
      <c r="C130" s="53"/>
      <c r="D130" s="56"/>
      <c r="E130" s="53"/>
      <c r="F130" s="32"/>
      <c r="G130" s="16" t="s">
        <v>134</v>
      </c>
      <c r="H130" s="19"/>
      <c r="I130" s="19"/>
      <c r="J130" s="19"/>
      <c r="K130" s="19">
        <v>5.1210619999999998E-2</v>
      </c>
      <c r="L130" s="19">
        <v>4.12238506918116E-2</v>
      </c>
      <c r="M130" s="19">
        <v>4.93170615033637E-2</v>
      </c>
      <c r="N130" s="19"/>
      <c r="O130" s="19"/>
      <c r="P130" s="19"/>
      <c r="Q130" s="19"/>
      <c r="R130" s="19"/>
      <c r="S130" s="19"/>
    </row>
    <row r="131" spans="1:19" s="20" customFormat="1" ht="16.95" customHeight="1" x14ac:dyDescent="0.25">
      <c r="A131" s="53"/>
      <c r="B131" s="53"/>
      <c r="C131" s="53"/>
      <c r="D131" s="56"/>
      <c r="E131" s="53"/>
      <c r="F131" s="32"/>
      <c r="G131" s="18" t="s">
        <v>135</v>
      </c>
      <c r="H131" s="19"/>
      <c r="I131" s="19"/>
      <c r="J131" s="19"/>
      <c r="K131" s="19">
        <f>IFERROR(2-K130/K126,"")</f>
        <v>0.72427362261177675</v>
      </c>
      <c r="L131" s="19">
        <f>IFERROR(2-L130/L126,"")</f>
        <v>1.0740635556701523</v>
      </c>
      <c r="M131" s="19">
        <f>IFERROR(2-M130/M126,"")</f>
        <v>0.93306182599552101</v>
      </c>
      <c r="N131" s="19"/>
      <c r="O131" s="19"/>
      <c r="P131" s="19"/>
      <c r="Q131" s="19"/>
      <c r="R131" s="19"/>
      <c r="S131" s="19"/>
    </row>
    <row r="132" spans="1:19" s="20" customFormat="1" ht="16.95" customHeight="1" x14ac:dyDescent="0.25">
      <c r="A132" s="52" t="s">
        <v>68</v>
      </c>
      <c r="B132" s="52" t="s">
        <v>71</v>
      </c>
      <c r="C132" s="52" t="s">
        <v>72</v>
      </c>
      <c r="D132" s="56">
        <v>0.15</v>
      </c>
      <c r="E132" s="56" t="s">
        <v>138</v>
      </c>
      <c r="F132" s="32"/>
      <c r="G132" s="7" t="s">
        <v>22</v>
      </c>
      <c r="H132" s="33">
        <v>3.43966986018716E-3</v>
      </c>
      <c r="I132" s="15">
        <v>1.59216721722034E-3</v>
      </c>
      <c r="J132" s="15">
        <v>2.1307492235326502E-3</v>
      </c>
      <c r="K132" s="15">
        <v>1.7378437398100799E-3</v>
      </c>
      <c r="L132" s="15">
        <v>2.6331677667794698E-3</v>
      </c>
      <c r="M132" s="15">
        <v>2.6501926969058299E-3</v>
      </c>
      <c r="N132" s="15">
        <v>2.6587489724847601E-3</v>
      </c>
      <c r="O132" s="15">
        <v>2.0166980244590801E-3</v>
      </c>
      <c r="P132" s="15">
        <v>3.1924805368063499E-3</v>
      </c>
      <c r="Q132" s="15">
        <v>3.4189846172641698E-3</v>
      </c>
      <c r="R132" s="15">
        <v>3.56014042698352E-3</v>
      </c>
      <c r="S132" s="15">
        <v>3.7000000000000002E-3</v>
      </c>
    </row>
    <row r="133" spans="1:19" ht="16.95" customHeight="1" x14ac:dyDescent="0.25">
      <c r="A133" s="52"/>
      <c r="B133" s="52"/>
      <c r="C133" s="52"/>
      <c r="D133" s="56"/>
      <c r="E133" s="52"/>
      <c r="F133" s="34"/>
      <c r="G133" s="7" t="s">
        <v>23</v>
      </c>
      <c r="H133" s="15">
        <v>3.2000000000000002E-3</v>
      </c>
      <c r="I133" s="15">
        <v>3.2000000000000002E-3</v>
      </c>
      <c r="J133" s="15">
        <v>2.5999999999999999E-3</v>
      </c>
      <c r="K133" s="15">
        <v>2.2000000000000001E-3</v>
      </c>
      <c r="L133" s="15">
        <v>2.2000000000000001E-3</v>
      </c>
      <c r="M133" s="15">
        <v>2.2000000000000001E-3</v>
      </c>
      <c r="N133" s="15">
        <v>2.2000000000000001E-3</v>
      </c>
      <c r="O133" s="15">
        <v>2.2000000000000001E-3</v>
      </c>
      <c r="P133" s="15">
        <v>2.5999999999999999E-3</v>
      </c>
      <c r="Q133" s="15">
        <v>2.5999999999999999E-3</v>
      </c>
      <c r="R133" s="15">
        <v>2.5999999999999999E-3</v>
      </c>
      <c r="S133" s="15">
        <v>2.5999999999999999E-3</v>
      </c>
    </row>
    <row r="134" spans="1:19" ht="16.95" customHeight="1" x14ac:dyDescent="0.25">
      <c r="A134" s="52"/>
      <c r="B134" s="52"/>
      <c r="C134" s="52"/>
      <c r="D134" s="56"/>
      <c r="E134" s="52"/>
      <c r="F134" s="34"/>
      <c r="G134" s="7" t="s">
        <v>26</v>
      </c>
      <c r="H134" s="15">
        <f t="shared" ref="H134:S134" si="59">+H133-0.05%</f>
        <v>2.7000000000000001E-3</v>
      </c>
      <c r="I134" s="15">
        <f t="shared" si="59"/>
        <v>2.7000000000000001E-3</v>
      </c>
      <c r="J134" s="15">
        <f t="shared" si="59"/>
        <v>2.0999999999999999E-3</v>
      </c>
      <c r="K134" s="15">
        <f t="shared" si="59"/>
        <v>1.7000000000000001E-3</v>
      </c>
      <c r="L134" s="15">
        <f t="shared" si="59"/>
        <v>1.7000000000000001E-3</v>
      </c>
      <c r="M134" s="15">
        <f t="shared" si="59"/>
        <v>1.7000000000000001E-3</v>
      </c>
      <c r="N134" s="15">
        <f t="shared" si="59"/>
        <v>1.7000000000000001E-3</v>
      </c>
      <c r="O134" s="15">
        <f t="shared" si="59"/>
        <v>1.7000000000000001E-3</v>
      </c>
      <c r="P134" s="15">
        <f t="shared" si="59"/>
        <v>2.0999999999999999E-3</v>
      </c>
      <c r="Q134" s="15">
        <f t="shared" si="59"/>
        <v>2.0999999999999999E-3</v>
      </c>
      <c r="R134" s="15">
        <f t="shared" si="59"/>
        <v>2.0999999999999999E-3</v>
      </c>
      <c r="S134" s="15">
        <f t="shared" si="59"/>
        <v>2.0999999999999999E-3</v>
      </c>
    </row>
    <row r="135" spans="1:19" ht="16.95" customHeight="1" x14ac:dyDescent="0.25">
      <c r="A135" s="52"/>
      <c r="B135" s="52"/>
      <c r="C135" s="52"/>
      <c r="D135" s="56"/>
      <c r="E135" s="52"/>
      <c r="F135" s="34"/>
      <c r="G135" s="7" t="s">
        <v>27</v>
      </c>
      <c r="H135" s="15">
        <f t="shared" ref="H135:S135" si="60">+H133+0.04%</f>
        <v>3.6000000000000003E-3</v>
      </c>
      <c r="I135" s="15">
        <f t="shared" si="60"/>
        <v>3.6000000000000003E-3</v>
      </c>
      <c r="J135" s="15">
        <f t="shared" si="60"/>
        <v>3.0000000000000001E-3</v>
      </c>
      <c r="K135" s="15">
        <f t="shared" si="60"/>
        <v>2.6000000000000003E-3</v>
      </c>
      <c r="L135" s="15">
        <f t="shared" si="60"/>
        <v>2.6000000000000003E-3</v>
      </c>
      <c r="M135" s="15">
        <f t="shared" si="60"/>
        <v>2.6000000000000003E-3</v>
      </c>
      <c r="N135" s="15">
        <f t="shared" si="60"/>
        <v>2.6000000000000003E-3</v>
      </c>
      <c r="O135" s="15">
        <f t="shared" si="60"/>
        <v>2.6000000000000003E-3</v>
      </c>
      <c r="P135" s="15">
        <f t="shared" si="60"/>
        <v>3.0000000000000001E-3</v>
      </c>
      <c r="Q135" s="15">
        <f t="shared" si="60"/>
        <v>3.0000000000000001E-3</v>
      </c>
      <c r="R135" s="15">
        <f t="shared" si="60"/>
        <v>3.0000000000000001E-3</v>
      </c>
      <c r="S135" s="15">
        <f t="shared" si="60"/>
        <v>3.0000000000000001E-3</v>
      </c>
    </row>
    <row r="136" spans="1:19" ht="16.95" customHeight="1" x14ac:dyDescent="0.25">
      <c r="A136" s="52"/>
      <c r="B136" s="52"/>
      <c r="C136" s="52"/>
      <c r="D136" s="56"/>
      <c r="E136" s="52"/>
      <c r="F136" s="34"/>
      <c r="G136" s="25" t="s">
        <v>24</v>
      </c>
      <c r="H136" s="45">
        <f>(H133-H132)/H132</f>
        <v>-6.9678158058494283E-2</v>
      </c>
      <c r="I136" s="45">
        <f t="shared" ref="I136:R136" si="61">(I133-I132)/I132</f>
        <v>1.0098391459074691</v>
      </c>
      <c r="J136" s="45">
        <f t="shared" si="61"/>
        <v>0.22022806404658027</v>
      </c>
      <c r="K136" s="45">
        <f t="shared" si="61"/>
        <v>0.26593660270078534</v>
      </c>
      <c r="L136" s="45">
        <f t="shared" si="61"/>
        <v>-0.1645044315992297</v>
      </c>
      <c r="M136" s="45">
        <f t="shared" si="61"/>
        <v>-0.16987168421052615</v>
      </c>
      <c r="N136" s="45">
        <f t="shared" si="61"/>
        <v>-0.17254316869788258</v>
      </c>
      <c r="O136" s="45">
        <f t="shared" si="61"/>
        <v>9.0892128279882356E-2</v>
      </c>
      <c r="P136" s="45">
        <f t="shared" si="61"/>
        <v>-0.18558626434072098</v>
      </c>
      <c r="Q136" s="45">
        <f t="shared" si="61"/>
        <v>-0.23954030478192426</v>
      </c>
      <c r="R136" s="45">
        <f t="shared" si="61"/>
        <v>-0.26969172892908605</v>
      </c>
      <c r="S136" s="45">
        <f>(S133-S132)/S132</f>
        <v>-0.29729729729729737</v>
      </c>
    </row>
    <row r="137" spans="1:19" ht="16.95" customHeight="1" x14ac:dyDescent="0.25">
      <c r="A137" s="52"/>
      <c r="B137" s="52"/>
      <c r="C137" s="52"/>
      <c r="D137" s="56"/>
      <c r="E137" s="52"/>
      <c r="F137" s="34"/>
      <c r="G137" s="16" t="s">
        <v>134</v>
      </c>
      <c r="H137" s="19"/>
      <c r="I137" s="19"/>
      <c r="J137" s="19"/>
      <c r="K137" s="19">
        <v>3.0000000000000001E-3</v>
      </c>
      <c r="L137" s="19">
        <v>2.3999999999999998E-3</v>
      </c>
      <c r="M137" s="19">
        <v>2.8999999999999998E-3</v>
      </c>
      <c r="N137" s="19">
        <v>2.7000000000000001E-3</v>
      </c>
      <c r="O137" s="19"/>
      <c r="P137" s="19"/>
      <c r="Q137" s="19"/>
      <c r="R137" s="19"/>
      <c r="S137" s="19"/>
    </row>
    <row r="138" spans="1:19" ht="16.95" customHeight="1" x14ac:dyDescent="0.25">
      <c r="A138" s="52"/>
      <c r="B138" s="52"/>
      <c r="C138" s="52"/>
      <c r="D138" s="56"/>
      <c r="E138" s="52"/>
      <c r="F138" s="34"/>
      <c r="G138" s="18" t="s">
        <v>135</v>
      </c>
      <c r="H138" s="22"/>
      <c r="I138" s="22"/>
      <c r="J138" s="22"/>
      <c r="K138" s="19">
        <f>IFERROR(2-K137/K133,"")</f>
        <v>0.63636363636363646</v>
      </c>
      <c r="L138" s="19">
        <f>IFERROR(2-L137/L133,"")</f>
        <v>0.90909090909090917</v>
      </c>
      <c r="M138" s="19">
        <f>IFERROR(2-M137/M133,"")</f>
        <v>0.68181818181818188</v>
      </c>
      <c r="N138" s="19">
        <f>IFERROR(2-N137/N133,"")</f>
        <v>0.77272727272727271</v>
      </c>
      <c r="O138" s="22"/>
      <c r="P138" s="22"/>
      <c r="Q138" s="22"/>
      <c r="R138" s="22"/>
      <c r="S138" s="22"/>
    </row>
    <row r="139" spans="1:19" ht="16.95" customHeight="1" x14ac:dyDescent="0.25">
      <c r="A139" s="52" t="s">
        <v>68</v>
      </c>
      <c r="B139" s="52" t="s">
        <v>73</v>
      </c>
      <c r="C139" s="52" t="s">
        <v>150</v>
      </c>
      <c r="D139" s="56">
        <v>0.25</v>
      </c>
      <c r="E139" s="52" t="s">
        <v>74</v>
      </c>
      <c r="F139" s="32"/>
      <c r="G139" s="7" t="s">
        <v>22</v>
      </c>
      <c r="H139" s="15">
        <v>2.0206352953369099E-2</v>
      </c>
      <c r="I139" s="15">
        <v>8.5187771334891797E-3</v>
      </c>
      <c r="J139" s="15">
        <v>1.00983422309638E-2</v>
      </c>
      <c r="K139" s="15">
        <v>1.2601728787441001E-2</v>
      </c>
      <c r="L139" s="15">
        <v>1.1576047654823301E-2</v>
      </c>
      <c r="M139" s="15">
        <v>1.7527917285322901E-2</v>
      </c>
      <c r="N139" s="15">
        <v>2.2570188879526699E-2</v>
      </c>
      <c r="O139" s="15">
        <v>2.3801644863671801E-2</v>
      </c>
      <c r="P139" s="15">
        <v>2.9361339819925201E-2</v>
      </c>
      <c r="Q139" s="15">
        <v>2.6755922589255899E-2</v>
      </c>
      <c r="R139" s="15">
        <v>2.6443671780691898E-2</v>
      </c>
      <c r="S139" s="15">
        <v>2.9657947321714201E-2</v>
      </c>
    </row>
    <row r="140" spans="1:19" ht="16.95" customHeight="1" x14ac:dyDescent="0.25">
      <c r="A140" s="52"/>
      <c r="B140" s="52"/>
      <c r="C140" s="52"/>
      <c r="D140" s="56"/>
      <c r="E140" s="52"/>
      <c r="F140" s="34"/>
      <c r="G140" s="7" t="s">
        <v>23</v>
      </c>
      <c r="H140" s="15">
        <v>3.95782478764405E-2</v>
      </c>
      <c r="I140" s="15">
        <v>2.8112837116384799E-2</v>
      </c>
      <c r="J140" s="15">
        <v>1.7776211827962199E-2</v>
      </c>
      <c r="K140" s="15">
        <v>1.7776211827962199E-2</v>
      </c>
      <c r="L140" s="15">
        <v>1.7776211827962199E-2</v>
      </c>
      <c r="M140" s="15">
        <v>1.7000000000000001E-2</v>
      </c>
      <c r="N140" s="15">
        <v>4.0000000000000001E-3</v>
      </c>
      <c r="O140" s="15">
        <v>1.0999999999999999E-2</v>
      </c>
      <c r="P140" s="15">
        <v>9.4999999999999998E-3</v>
      </c>
      <c r="Q140" s="15">
        <v>9.4999999999999998E-3</v>
      </c>
      <c r="R140" s="15">
        <v>9.4999999999999998E-3</v>
      </c>
      <c r="S140" s="15">
        <v>9.4999999999999998E-3</v>
      </c>
    </row>
    <row r="141" spans="1:19" ht="16.95" customHeight="1" x14ac:dyDescent="0.25">
      <c r="A141" s="52"/>
      <c r="B141" s="52"/>
      <c r="C141" s="52"/>
      <c r="D141" s="56"/>
      <c r="E141" s="52"/>
      <c r="F141" s="34"/>
      <c r="G141" s="7" t="s">
        <v>26</v>
      </c>
      <c r="H141" s="15"/>
      <c r="I141" s="15"/>
      <c r="J141" s="15">
        <f t="shared" ref="J141:S141" si="62">+J140-0.03%*10</f>
        <v>1.47762118279622E-2</v>
      </c>
      <c r="K141" s="15">
        <f t="shared" si="62"/>
        <v>1.47762118279622E-2</v>
      </c>
      <c r="L141" s="15">
        <f t="shared" si="62"/>
        <v>1.47762118279622E-2</v>
      </c>
      <c r="M141" s="15">
        <f t="shared" si="62"/>
        <v>1.4000000000000002E-2</v>
      </c>
      <c r="N141" s="15">
        <f t="shared" si="62"/>
        <v>1.0000000000000005E-3</v>
      </c>
      <c r="O141" s="15">
        <f t="shared" si="62"/>
        <v>8.0000000000000002E-3</v>
      </c>
      <c r="P141" s="15">
        <f t="shared" si="62"/>
        <v>6.5000000000000006E-3</v>
      </c>
      <c r="Q141" s="15">
        <f t="shared" si="62"/>
        <v>6.5000000000000006E-3</v>
      </c>
      <c r="R141" s="15">
        <f t="shared" si="62"/>
        <v>6.5000000000000006E-3</v>
      </c>
      <c r="S141" s="15">
        <f t="shared" si="62"/>
        <v>6.5000000000000006E-3</v>
      </c>
    </row>
    <row r="142" spans="1:19" ht="16.95" customHeight="1" x14ac:dyDescent="0.25">
      <c r="A142" s="52"/>
      <c r="B142" s="52"/>
      <c r="C142" s="52"/>
      <c r="D142" s="56"/>
      <c r="E142" s="52"/>
      <c r="F142" s="34"/>
      <c r="G142" s="7" t="s">
        <v>27</v>
      </c>
      <c r="H142" s="15"/>
      <c r="I142" s="15"/>
      <c r="J142" s="15">
        <f t="shared" ref="J142:S142" si="63">+J140+0.03%*8</f>
        <v>2.0176211827962198E-2</v>
      </c>
      <c r="K142" s="15">
        <f t="shared" si="63"/>
        <v>2.0176211827962198E-2</v>
      </c>
      <c r="L142" s="15">
        <f t="shared" si="63"/>
        <v>2.0176211827962198E-2</v>
      </c>
      <c r="M142" s="15">
        <f t="shared" si="63"/>
        <v>1.9400000000000001E-2</v>
      </c>
      <c r="N142" s="15">
        <f t="shared" si="63"/>
        <v>6.3999999999999994E-3</v>
      </c>
      <c r="O142" s="15">
        <f t="shared" si="63"/>
        <v>1.3399999999999999E-2</v>
      </c>
      <c r="P142" s="15">
        <f t="shared" si="63"/>
        <v>1.1899999999999999E-2</v>
      </c>
      <c r="Q142" s="15">
        <f t="shared" si="63"/>
        <v>1.1899999999999999E-2</v>
      </c>
      <c r="R142" s="15">
        <f t="shared" si="63"/>
        <v>1.1899999999999999E-2</v>
      </c>
      <c r="S142" s="15">
        <f t="shared" si="63"/>
        <v>1.1899999999999999E-2</v>
      </c>
    </row>
    <row r="143" spans="1:19" ht="16.95" customHeight="1" x14ac:dyDescent="0.25">
      <c r="A143" s="52"/>
      <c r="B143" s="52"/>
      <c r="C143" s="52"/>
      <c r="D143" s="56"/>
      <c r="E143" s="52"/>
      <c r="F143" s="34"/>
      <c r="G143" s="25" t="s">
        <v>24</v>
      </c>
      <c r="H143" s="45">
        <f>(H140-H139)/H139</f>
        <v>0.95870318447750535</v>
      </c>
      <c r="I143" s="45">
        <f t="shared" ref="I143:S143" si="64">(I140-I139)/I139</f>
        <v>2.3001024297099022</v>
      </c>
      <c r="J143" s="45">
        <f t="shared" si="64"/>
        <v>0.76030990249630437</v>
      </c>
      <c r="K143" s="45">
        <f t="shared" si="64"/>
        <v>0.4106169183452143</v>
      </c>
      <c r="L143" s="45">
        <f t="shared" si="64"/>
        <v>0.53560285496540128</v>
      </c>
      <c r="M143" s="45">
        <f t="shared" si="64"/>
        <v>-3.011865452862186E-2</v>
      </c>
      <c r="N143" s="45">
        <f t="shared" si="64"/>
        <v>-0.82277507639165659</v>
      </c>
      <c r="O143" s="45">
        <f t="shared" si="64"/>
        <v>-0.53784706632653012</v>
      </c>
      <c r="P143" s="45">
        <f t="shared" si="64"/>
        <v>-0.67644528286978567</v>
      </c>
      <c r="Q143" s="45">
        <f t="shared" si="64"/>
        <v>-0.64493842556508163</v>
      </c>
      <c r="R143" s="45">
        <f t="shared" si="64"/>
        <v>-0.64074580569644968</v>
      </c>
      <c r="S143" s="45">
        <f t="shared" si="64"/>
        <v>-0.67968113582005951</v>
      </c>
    </row>
    <row r="144" spans="1:19" ht="16.95" customHeight="1" x14ac:dyDescent="0.25">
      <c r="A144" s="52"/>
      <c r="B144" s="52"/>
      <c r="C144" s="52"/>
      <c r="D144" s="56"/>
      <c r="E144" s="52"/>
      <c r="F144" s="34"/>
      <c r="G144" s="16" t="s">
        <v>134</v>
      </c>
      <c r="H144" s="19"/>
      <c r="I144" s="19"/>
      <c r="J144" s="19"/>
      <c r="K144" s="19">
        <v>2.24E-2</v>
      </c>
      <c r="L144" s="19">
        <v>2.7799999999999998E-2</v>
      </c>
      <c r="M144" s="19">
        <v>2.93E-2</v>
      </c>
      <c r="N144" s="47">
        <v>4.3E-3</v>
      </c>
      <c r="O144" s="19"/>
      <c r="P144" s="19"/>
      <c r="Q144" s="19"/>
      <c r="R144" s="19"/>
      <c r="S144" s="19"/>
    </row>
    <row r="145" spans="1:19" ht="16.95" customHeight="1" x14ac:dyDescent="0.25">
      <c r="A145" s="52"/>
      <c r="B145" s="52"/>
      <c r="C145" s="52"/>
      <c r="D145" s="56"/>
      <c r="E145" s="52"/>
      <c r="F145" s="34"/>
      <c r="G145" s="18" t="s">
        <v>135</v>
      </c>
      <c r="H145" s="22"/>
      <c r="I145" s="22"/>
      <c r="J145" s="22"/>
      <c r="K145" s="19">
        <f>IFERROR(2-K144/K140,"")</f>
        <v>0.73988900352973253</v>
      </c>
      <c r="L145" s="19">
        <f>IFERROR(2-L144/L140,"")</f>
        <v>0.43611224545207894</v>
      </c>
      <c r="M145" s="19">
        <f>IFERROR(2-M144/M140,"")</f>
        <v>0.27647058823529425</v>
      </c>
      <c r="N145" s="19">
        <f>IFERROR(2-N144/N140,"")</f>
        <v>0.92500000000000004</v>
      </c>
      <c r="O145" s="19" t="str">
        <f t="shared" ref="O145:S145" si="65">IFERROR(O140/O144,"")</f>
        <v/>
      </c>
      <c r="P145" s="19" t="str">
        <f t="shared" si="65"/>
        <v/>
      </c>
      <c r="Q145" s="19" t="str">
        <f t="shared" si="65"/>
        <v/>
      </c>
      <c r="R145" s="19" t="str">
        <f t="shared" si="65"/>
        <v/>
      </c>
      <c r="S145" s="19" t="str">
        <f t="shared" si="65"/>
        <v/>
      </c>
    </row>
    <row r="146" spans="1:19" ht="16.95" customHeight="1" x14ac:dyDescent="0.25">
      <c r="A146" s="52" t="s">
        <v>68</v>
      </c>
      <c r="B146" s="52" t="s">
        <v>75</v>
      </c>
      <c r="C146" s="52" t="s">
        <v>76</v>
      </c>
      <c r="D146" s="56">
        <v>0.3</v>
      </c>
      <c r="E146" s="52" t="s">
        <v>77</v>
      </c>
      <c r="F146" s="32"/>
      <c r="G146" s="7" t="s">
        <v>22</v>
      </c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11"/>
    </row>
    <row r="147" spans="1:19" ht="16.95" customHeight="1" x14ac:dyDescent="0.25">
      <c r="A147" s="52"/>
      <c r="B147" s="52"/>
      <c r="C147" s="52"/>
      <c r="D147" s="56"/>
      <c r="E147" s="52"/>
      <c r="F147" s="34"/>
      <c r="G147" s="7" t="s">
        <v>23</v>
      </c>
      <c r="H147" s="15">
        <v>0.997</v>
      </c>
      <c r="I147" s="15">
        <v>0.995</v>
      </c>
      <c r="J147" s="15">
        <v>0.995</v>
      </c>
      <c r="K147" s="15">
        <v>0.997</v>
      </c>
      <c r="L147" s="15">
        <v>0.997</v>
      </c>
      <c r="M147" s="15">
        <v>0.997</v>
      </c>
      <c r="N147" s="15">
        <v>0.997</v>
      </c>
      <c r="O147" s="15">
        <v>0.995</v>
      </c>
      <c r="P147" s="15">
        <v>0.997</v>
      </c>
      <c r="Q147" s="15">
        <v>0.997</v>
      </c>
      <c r="R147" s="15">
        <v>0.995</v>
      </c>
      <c r="S147" s="15">
        <v>0.997</v>
      </c>
    </row>
    <row r="148" spans="1:19" ht="16.95" customHeight="1" x14ac:dyDescent="0.25">
      <c r="A148" s="52"/>
      <c r="B148" s="52"/>
      <c r="C148" s="52"/>
      <c r="D148" s="56"/>
      <c r="E148" s="52"/>
      <c r="F148" s="34"/>
      <c r="G148" s="7" t="s">
        <v>26</v>
      </c>
      <c r="H148" s="15">
        <f t="shared" ref="H148:S148" si="66">+H147+0.02%*10</f>
        <v>0.999</v>
      </c>
      <c r="I148" s="15">
        <f t="shared" si="66"/>
        <v>0.997</v>
      </c>
      <c r="J148" s="15">
        <f t="shared" si="66"/>
        <v>0.997</v>
      </c>
      <c r="K148" s="15">
        <f t="shared" si="66"/>
        <v>0.999</v>
      </c>
      <c r="L148" s="15">
        <f t="shared" si="66"/>
        <v>0.999</v>
      </c>
      <c r="M148" s="15">
        <f t="shared" si="66"/>
        <v>0.999</v>
      </c>
      <c r="N148" s="15">
        <f t="shared" si="66"/>
        <v>0.999</v>
      </c>
      <c r="O148" s="15">
        <f t="shared" si="66"/>
        <v>0.997</v>
      </c>
      <c r="P148" s="15">
        <f t="shared" si="66"/>
        <v>0.999</v>
      </c>
      <c r="Q148" s="15">
        <f t="shared" si="66"/>
        <v>0.999</v>
      </c>
      <c r="R148" s="15">
        <f t="shared" si="66"/>
        <v>0.997</v>
      </c>
      <c r="S148" s="15">
        <f t="shared" si="66"/>
        <v>0.999</v>
      </c>
    </row>
    <row r="149" spans="1:19" ht="16.95" customHeight="1" x14ac:dyDescent="0.25">
      <c r="A149" s="52"/>
      <c r="B149" s="52"/>
      <c r="C149" s="52"/>
      <c r="D149" s="56"/>
      <c r="E149" s="52"/>
      <c r="F149" s="34"/>
      <c r="G149" s="7" t="s">
        <v>27</v>
      </c>
      <c r="H149" s="15">
        <f>+H147-0.04%*8</f>
        <v>0.99380000000000002</v>
      </c>
      <c r="I149" s="15">
        <f t="shared" ref="I149:S149" si="67">+I147-0.04%*8</f>
        <v>0.99180000000000001</v>
      </c>
      <c r="J149" s="15">
        <f t="shared" si="67"/>
        <v>0.99180000000000001</v>
      </c>
      <c r="K149" s="15">
        <f t="shared" si="67"/>
        <v>0.99380000000000002</v>
      </c>
      <c r="L149" s="15">
        <f t="shared" si="67"/>
        <v>0.99380000000000002</v>
      </c>
      <c r="M149" s="15">
        <f t="shared" si="67"/>
        <v>0.99380000000000002</v>
      </c>
      <c r="N149" s="15">
        <f t="shared" si="67"/>
        <v>0.99380000000000002</v>
      </c>
      <c r="O149" s="15">
        <f t="shared" si="67"/>
        <v>0.99180000000000001</v>
      </c>
      <c r="P149" s="15">
        <f t="shared" si="67"/>
        <v>0.99380000000000002</v>
      </c>
      <c r="Q149" s="15">
        <f t="shared" si="67"/>
        <v>0.99380000000000002</v>
      </c>
      <c r="R149" s="15">
        <f t="shared" si="67"/>
        <v>0.99180000000000001</v>
      </c>
      <c r="S149" s="15">
        <f t="shared" si="67"/>
        <v>0.99380000000000002</v>
      </c>
    </row>
    <row r="150" spans="1:19" ht="16.95" customHeight="1" x14ac:dyDescent="0.25">
      <c r="A150" s="52"/>
      <c r="B150" s="52"/>
      <c r="C150" s="52"/>
      <c r="D150" s="56"/>
      <c r="E150" s="52"/>
      <c r="F150" s="34"/>
      <c r="G150" s="25" t="s">
        <v>24</v>
      </c>
      <c r="H150" s="15" t="str">
        <f t="shared" ref="H150:S150" si="68">IFERROR(H147/H146,"")</f>
        <v/>
      </c>
      <c r="I150" s="15" t="str">
        <f t="shared" si="68"/>
        <v/>
      </c>
      <c r="J150" s="15" t="str">
        <f t="shared" si="68"/>
        <v/>
      </c>
      <c r="K150" s="15" t="str">
        <f t="shared" si="68"/>
        <v/>
      </c>
      <c r="L150" s="15" t="str">
        <f t="shared" si="68"/>
        <v/>
      </c>
      <c r="M150" s="15" t="str">
        <f t="shared" si="68"/>
        <v/>
      </c>
      <c r="N150" s="15" t="str">
        <f t="shared" si="68"/>
        <v/>
      </c>
      <c r="O150" s="15" t="str">
        <f t="shared" si="68"/>
        <v/>
      </c>
      <c r="P150" s="15" t="str">
        <f t="shared" si="68"/>
        <v/>
      </c>
      <c r="Q150" s="15" t="str">
        <f t="shared" si="68"/>
        <v/>
      </c>
      <c r="R150" s="15" t="str">
        <f t="shared" si="68"/>
        <v/>
      </c>
      <c r="S150" s="15" t="str">
        <f t="shared" si="68"/>
        <v/>
      </c>
    </row>
    <row r="151" spans="1:19" ht="16.95" customHeight="1" x14ac:dyDescent="0.25">
      <c r="A151" s="52"/>
      <c r="B151" s="52"/>
      <c r="C151" s="52"/>
      <c r="D151" s="56"/>
      <c r="E151" s="52"/>
      <c r="F151" s="34"/>
      <c r="G151" s="16" t="s">
        <v>134</v>
      </c>
      <c r="H151" s="19"/>
      <c r="I151" s="19"/>
      <c r="J151" s="19"/>
      <c r="K151" s="19">
        <v>0.95589999999999997</v>
      </c>
      <c r="L151" s="19">
        <v>0.99299999999999999</v>
      </c>
      <c r="M151" s="19">
        <v>0.99860000000000004</v>
      </c>
      <c r="N151" s="19">
        <v>0.999</v>
      </c>
      <c r="O151" s="19"/>
      <c r="P151" s="19"/>
      <c r="Q151" s="19"/>
      <c r="R151" s="19"/>
      <c r="S151" s="19"/>
    </row>
    <row r="152" spans="1:19" ht="16.95" customHeight="1" x14ac:dyDescent="0.25">
      <c r="A152" s="52"/>
      <c r="B152" s="52"/>
      <c r="C152" s="52"/>
      <c r="D152" s="56"/>
      <c r="E152" s="52"/>
      <c r="F152" s="34"/>
      <c r="G152" s="18" t="s">
        <v>135</v>
      </c>
      <c r="H152" s="22"/>
      <c r="I152" s="22"/>
      <c r="J152" s="22"/>
      <c r="K152" s="19">
        <f>IFERROR(K151/K147,"")</f>
        <v>0.95877632898696086</v>
      </c>
      <c r="L152" s="19">
        <f>IFERROR(L151/L147,"")</f>
        <v>0.99598796389167499</v>
      </c>
      <c r="M152" s="19">
        <f>IFERROR(M151/M147,"")</f>
        <v>1.00160481444333</v>
      </c>
      <c r="N152" s="19">
        <f>IFERROR(N151/N147,"")</f>
        <v>1.0020060180541626</v>
      </c>
      <c r="O152" s="22"/>
      <c r="P152" s="22"/>
      <c r="Q152" s="22"/>
      <c r="R152" s="22"/>
      <c r="S152" s="22"/>
    </row>
    <row r="153" spans="1:19" ht="16.95" customHeight="1" x14ac:dyDescent="0.25">
      <c r="A153" s="52" t="s">
        <v>78</v>
      </c>
      <c r="B153" s="52" t="s">
        <v>42</v>
      </c>
      <c r="C153" s="52" t="s">
        <v>79</v>
      </c>
      <c r="D153" s="54">
        <v>0.3</v>
      </c>
      <c r="E153" s="52" t="s">
        <v>44</v>
      </c>
      <c r="F153" s="11"/>
      <c r="G153" s="7" t="s">
        <v>22</v>
      </c>
      <c r="H153" s="11" t="s">
        <v>45</v>
      </c>
      <c r="I153" s="11"/>
      <c r="J153" s="11"/>
      <c r="K153" s="11"/>
      <c r="L153" s="11"/>
      <c r="M153" s="11"/>
      <c r="N153" s="11"/>
      <c r="O153" s="11"/>
      <c r="P153" s="11"/>
      <c r="Q153" s="11"/>
      <c r="R153" s="21"/>
      <c r="S153" s="11"/>
    </row>
    <row r="154" spans="1:19" ht="16.95" customHeight="1" x14ac:dyDescent="0.25">
      <c r="A154" s="52"/>
      <c r="B154" s="52"/>
      <c r="C154" s="52"/>
      <c r="D154" s="54"/>
      <c r="E154" s="52"/>
      <c r="F154" s="11"/>
      <c r="G154" s="7" t="s">
        <v>23</v>
      </c>
      <c r="H154" s="21"/>
      <c r="I154" s="21"/>
      <c r="J154" s="21"/>
      <c r="K154" s="21"/>
      <c r="L154" s="15">
        <v>0.85</v>
      </c>
      <c r="M154" s="15">
        <v>0.87</v>
      </c>
      <c r="N154" s="15">
        <v>0.89</v>
      </c>
      <c r="O154" s="15">
        <v>0.9</v>
      </c>
      <c r="P154" s="15">
        <v>0.9</v>
      </c>
      <c r="Q154" s="15">
        <v>0.91</v>
      </c>
      <c r="R154" s="15">
        <v>0.91</v>
      </c>
      <c r="S154" s="15">
        <v>0.91</v>
      </c>
    </row>
    <row r="155" spans="1:19" ht="16.95" customHeight="1" x14ac:dyDescent="0.25">
      <c r="A155" s="52"/>
      <c r="B155" s="52"/>
      <c r="C155" s="52"/>
      <c r="D155" s="54"/>
      <c r="E155" s="52"/>
      <c r="F155" s="11"/>
      <c r="G155" s="7" t="s">
        <v>26</v>
      </c>
      <c r="H155" s="21"/>
      <c r="I155" s="21"/>
      <c r="J155" s="21"/>
      <c r="K155" s="21"/>
      <c r="L155" s="15">
        <f>+L154+5%</f>
        <v>0.9</v>
      </c>
      <c r="M155" s="15">
        <f t="shared" ref="M155:S155" si="69">+M154+5%</f>
        <v>0.92</v>
      </c>
      <c r="N155" s="15">
        <f t="shared" si="69"/>
        <v>0.94000000000000006</v>
      </c>
      <c r="O155" s="15">
        <f t="shared" si="69"/>
        <v>0.95000000000000007</v>
      </c>
      <c r="P155" s="15">
        <f t="shared" si="69"/>
        <v>0.95000000000000007</v>
      </c>
      <c r="Q155" s="15">
        <f t="shared" si="69"/>
        <v>0.96000000000000008</v>
      </c>
      <c r="R155" s="15">
        <f t="shared" si="69"/>
        <v>0.96000000000000008</v>
      </c>
      <c r="S155" s="15">
        <f t="shared" si="69"/>
        <v>0.96000000000000008</v>
      </c>
    </row>
    <row r="156" spans="1:19" ht="16.95" customHeight="1" x14ac:dyDescent="0.25">
      <c r="A156" s="52"/>
      <c r="B156" s="52"/>
      <c r="C156" s="52"/>
      <c r="D156" s="54"/>
      <c r="E156" s="52"/>
      <c r="F156" s="11"/>
      <c r="G156" s="7" t="s">
        <v>27</v>
      </c>
      <c r="H156" s="21"/>
      <c r="I156" s="21"/>
      <c r="J156" s="21"/>
      <c r="K156" s="21"/>
      <c r="L156" s="15">
        <f t="shared" ref="L156:S156" si="70">+L154-4%</f>
        <v>0.80999999999999994</v>
      </c>
      <c r="M156" s="15">
        <f t="shared" si="70"/>
        <v>0.83</v>
      </c>
      <c r="N156" s="15">
        <f t="shared" si="70"/>
        <v>0.85</v>
      </c>
      <c r="O156" s="15">
        <f t="shared" si="70"/>
        <v>0.86</v>
      </c>
      <c r="P156" s="15">
        <f t="shared" si="70"/>
        <v>0.86</v>
      </c>
      <c r="Q156" s="15">
        <f t="shared" si="70"/>
        <v>0.87</v>
      </c>
      <c r="R156" s="15">
        <f t="shared" si="70"/>
        <v>0.87</v>
      </c>
      <c r="S156" s="15">
        <f t="shared" si="70"/>
        <v>0.87</v>
      </c>
    </row>
    <row r="157" spans="1:19" ht="16.95" customHeight="1" x14ac:dyDescent="0.25">
      <c r="A157" s="52"/>
      <c r="B157" s="52"/>
      <c r="C157" s="52"/>
      <c r="D157" s="54"/>
      <c r="E157" s="52"/>
      <c r="F157" s="11"/>
      <c r="G157" s="7" t="s">
        <v>24</v>
      </c>
      <c r="H157" s="21"/>
      <c r="I157" s="21"/>
      <c r="J157" s="21"/>
      <c r="K157" s="15" t="str">
        <f t="shared" ref="K157:S157" si="71">IFERROR(K154/K153,"")</f>
        <v/>
      </c>
      <c r="L157" s="15" t="str">
        <f t="shared" si="71"/>
        <v/>
      </c>
      <c r="M157" s="15" t="str">
        <f t="shared" si="71"/>
        <v/>
      </c>
      <c r="N157" s="15" t="str">
        <f t="shared" si="71"/>
        <v/>
      </c>
      <c r="O157" s="15" t="str">
        <f t="shared" si="71"/>
        <v/>
      </c>
      <c r="P157" s="15" t="str">
        <f t="shared" si="71"/>
        <v/>
      </c>
      <c r="Q157" s="15" t="str">
        <f t="shared" si="71"/>
        <v/>
      </c>
      <c r="R157" s="15" t="str">
        <f t="shared" si="71"/>
        <v/>
      </c>
      <c r="S157" s="15" t="str">
        <f t="shared" si="71"/>
        <v/>
      </c>
    </row>
    <row r="158" spans="1:19" ht="16.95" customHeight="1" x14ac:dyDescent="0.25">
      <c r="A158" s="52"/>
      <c r="B158" s="52"/>
      <c r="C158" s="52"/>
      <c r="D158" s="54"/>
      <c r="E158" s="52"/>
      <c r="F158" s="11"/>
      <c r="G158" s="16" t="s">
        <v>134</v>
      </c>
      <c r="H158" s="27"/>
      <c r="I158" s="27"/>
      <c r="J158" s="27"/>
      <c r="K158" s="27"/>
      <c r="L158" s="19">
        <v>0.8397</v>
      </c>
      <c r="M158" s="19">
        <v>0.86129999999999995</v>
      </c>
      <c r="N158" s="19">
        <v>0.85840000000000005</v>
      </c>
      <c r="O158" s="27"/>
      <c r="P158" s="27"/>
      <c r="Q158" s="27"/>
      <c r="R158" s="27"/>
      <c r="S158" s="27"/>
    </row>
    <row r="159" spans="1:19" ht="16.95" customHeight="1" x14ac:dyDescent="0.25">
      <c r="A159" s="52"/>
      <c r="B159" s="52"/>
      <c r="C159" s="52"/>
      <c r="D159" s="54"/>
      <c r="E159" s="52"/>
      <c r="F159" s="11"/>
      <c r="G159" s="18" t="s">
        <v>135</v>
      </c>
      <c r="H159" s="19" t="str">
        <f t="shared" ref="H159:S159" si="72">IFERROR(H154/H153,"")</f>
        <v/>
      </c>
      <c r="I159" s="19" t="str">
        <f t="shared" si="72"/>
        <v/>
      </c>
      <c r="J159" s="19" t="str">
        <f t="shared" si="72"/>
        <v/>
      </c>
      <c r="K159" s="19" t="str">
        <f>IFERROR(K158/K154,"")</f>
        <v/>
      </c>
      <c r="L159" s="19">
        <f>IFERROR(L158/L154,"")</f>
        <v>0.98788235294117654</v>
      </c>
      <c r="M159" s="19">
        <f>IFERROR(M158/M154,"")</f>
        <v>0.99</v>
      </c>
      <c r="N159" s="19">
        <f>IFERROR(N158/N154,"")</f>
        <v>0.96449438202247195</v>
      </c>
      <c r="O159" s="19" t="str">
        <f t="shared" si="72"/>
        <v/>
      </c>
      <c r="P159" s="19" t="str">
        <f t="shared" si="72"/>
        <v/>
      </c>
      <c r="Q159" s="19" t="str">
        <f t="shared" si="72"/>
        <v/>
      </c>
      <c r="R159" s="19"/>
      <c r="S159" s="19" t="str">
        <f t="shared" si="72"/>
        <v/>
      </c>
    </row>
    <row r="160" spans="1:19" ht="16.95" customHeight="1" x14ac:dyDescent="0.25">
      <c r="A160" s="52" t="s">
        <v>78</v>
      </c>
      <c r="B160" s="52" t="s">
        <v>80</v>
      </c>
      <c r="C160" s="52" t="s">
        <v>81</v>
      </c>
      <c r="D160" s="54">
        <v>0.3</v>
      </c>
      <c r="E160" s="52" t="s">
        <v>36</v>
      </c>
      <c r="F160" s="21"/>
      <c r="G160" s="7" t="s">
        <v>22</v>
      </c>
      <c r="H160" s="4">
        <v>2.18542442400304E-2</v>
      </c>
      <c r="I160" s="4">
        <v>1.3727379873299301E-2</v>
      </c>
      <c r="J160" s="4">
        <v>1.0729549292332699E-2</v>
      </c>
      <c r="K160" s="4">
        <v>1.5018900924997299E-2</v>
      </c>
      <c r="L160" s="4">
        <v>1.4892169730077299E-2</v>
      </c>
      <c r="M160" s="4">
        <v>1.7739853211257799E-2</v>
      </c>
      <c r="N160" s="4">
        <v>2.8626091998624099E-2</v>
      </c>
      <c r="O160" s="4">
        <v>1.1054976417079899E-2</v>
      </c>
      <c r="P160" s="4">
        <v>1.63761026740591E-2</v>
      </c>
      <c r="Q160" s="4">
        <v>1.33893925497971E-2</v>
      </c>
      <c r="R160" s="4">
        <v>8.3790135153644103E-3</v>
      </c>
      <c r="S160" s="4">
        <v>1.35329905592873E-2</v>
      </c>
    </row>
    <row r="161" spans="1:19" ht="16.95" customHeight="1" x14ac:dyDescent="0.25">
      <c r="A161" s="52"/>
      <c r="B161" s="52"/>
      <c r="C161" s="52"/>
      <c r="D161" s="54"/>
      <c r="E161" s="52"/>
      <c r="F161" s="11"/>
      <c r="G161" s="7" t="s">
        <v>23</v>
      </c>
      <c r="H161" s="4">
        <v>3.2548182310432397E-2</v>
      </c>
      <c r="I161" s="4">
        <v>1.4953583949436799E-2</v>
      </c>
      <c r="J161" s="4">
        <v>1.0312724254049201E-2</v>
      </c>
      <c r="K161" s="4">
        <v>7.8533630557032202E-3</v>
      </c>
      <c r="L161" s="4">
        <v>9.9952333500247393E-3</v>
      </c>
      <c r="M161" s="4">
        <v>1.05720885964174E-2</v>
      </c>
      <c r="N161" s="4">
        <v>1.2723275145492799E-2</v>
      </c>
      <c r="O161" s="4">
        <v>9.9861432406043102E-3</v>
      </c>
      <c r="P161" s="4">
        <v>8.7594104855182493E-3</v>
      </c>
      <c r="Q161" s="4">
        <v>8.5004668334318894E-3</v>
      </c>
      <c r="R161" s="4">
        <v>8.07774102806884E-3</v>
      </c>
      <c r="S161" s="4">
        <v>8.0772314320517805E-3</v>
      </c>
    </row>
    <row r="162" spans="1:19" ht="16.95" customHeight="1" x14ac:dyDescent="0.25">
      <c r="A162" s="52"/>
      <c r="B162" s="52"/>
      <c r="C162" s="52"/>
      <c r="D162" s="54"/>
      <c r="E162" s="52"/>
      <c r="F162" s="11"/>
      <c r="G162" s="7" t="s">
        <v>26</v>
      </c>
      <c r="H162" s="4"/>
      <c r="I162" s="4"/>
      <c r="J162" s="4"/>
      <c r="K162" s="15">
        <f>+K161*(1-3%*10)</f>
        <v>5.4973541389922538E-3</v>
      </c>
      <c r="L162" s="15">
        <f t="shared" ref="L162:S162" si="73">+L161*(1-3%*10)</f>
        <v>6.996663345017317E-3</v>
      </c>
      <c r="M162" s="15">
        <f t="shared" si="73"/>
        <v>7.4004620174921796E-3</v>
      </c>
      <c r="N162" s="15">
        <f t="shared" si="73"/>
        <v>8.906292601844959E-3</v>
      </c>
      <c r="O162" s="15">
        <f t="shared" si="73"/>
        <v>6.990300268423017E-3</v>
      </c>
      <c r="P162" s="15">
        <f t="shared" si="73"/>
        <v>6.1315873398627742E-3</v>
      </c>
      <c r="Q162" s="15">
        <f t="shared" si="73"/>
        <v>5.9503267834023219E-3</v>
      </c>
      <c r="R162" s="15">
        <f t="shared" si="73"/>
        <v>5.6544187196481879E-3</v>
      </c>
      <c r="S162" s="15">
        <f t="shared" si="73"/>
        <v>5.6540620024362461E-3</v>
      </c>
    </row>
    <row r="163" spans="1:19" ht="16.95" customHeight="1" x14ac:dyDescent="0.25">
      <c r="A163" s="52"/>
      <c r="B163" s="52"/>
      <c r="C163" s="52"/>
      <c r="D163" s="54"/>
      <c r="E163" s="52"/>
      <c r="F163" s="11"/>
      <c r="G163" s="7" t="s">
        <v>27</v>
      </c>
      <c r="H163" s="4"/>
      <c r="I163" s="4"/>
      <c r="J163" s="4"/>
      <c r="K163" s="15">
        <f>+K161*(1+3%*8)</f>
        <v>9.7381701890719933E-3</v>
      </c>
      <c r="L163" s="15">
        <f t="shared" ref="L163:S163" si="74">+L161*(1+3%*8)</f>
        <v>1.2394089354030677E-2</v>
      </c>
      <c r="M163" s="15">
        <f t="shared" si="74"/>
        <v>1.3109389859557577E-2</v>
      </c>
      <c r="N163" s="15">
        <f t="shared" si="74"/>
        <v>1.5776861180411071E-2</v>
      </c>
      <c r="O163" s="15">
        <f t="shared" si="74"/>
        <v>1.2382817618349345E-2</v>
      </c>
      <c r="P163" s="15">
        <f t="shared" si="74"/>
        <v>1.0861669002042629E-2</v>
      </c>
      <c r="Q163" s="15">
        <f t="shared" si="74"/>
        <v>1.0540578873455542E-2</v>
      </c>
      <c r="R163" s="15">
        <f t="shared" si="74"/>
        <v>1.0016398874805361E-2</v>
      </c>
      <c r="S163" s="15">
        <f t="shared" si="74"/>
        <v>1.0015766975744208E-2</v>
      </c>
    </row>
    <row r="164" spans="1:19" ht="16.95" customHeight="1" x14ac:dyDescent="0.25">
      <c r="A164" s="52"/>
      <c r="B164" s="52"/>
      <c r="C164" s="52"/>
      <c r="D164" s="54"/>
      <c r="E164" s="52"/>
      <c r="F164" s="11"/>
      <c r="G164" s="7" t="s">
        <v>24</v>
      </c>
      <c r="H164" s="45">
        <f>(H161-H160)/H160</f>
        <v>0.48933003369724953</v>
      </c>
      <c r="I164" s="45">
        <f t="shared" ref="I164:R164" si="75">(I161-I160)/I160</f>
        <v>8.9325427536433979E-2</v>
      </c>
      <c r="J164" s="45">
        <f t="shared" si="75"/>
        <v>-3.8848326889309372E-2</v>
      </c>
      <c r="K164" s="45">
        <f t="shared" si="75"/>
        <v>-0.47710134750059069</v>
      </c>
      <c r="L164" s="45">
        <f t="shared" si="75"/>
        <v>-0.32882625358226708</v>
      </c>
      <c r="M164" s="45">
        <f t="shared" si="75"/>
        <v>-0.40404869924694192</v>
      </c>
      <c r="N164" s="45">
        <f t="shared" si="75"/>
        <v>-0.55553572782116623</v>
      </c>
      <c r="O164" s="45">
        <f t="shared" si="75"/>
        <v>-9.6683442474309197E-2</v>
      </c>
      <c r="P164" s="45">
        <f t="shared" si="75"/>
        <v>-0.46511018770090073</v>
      </c>
      <c r="Q164" s="45">
        <f t="shared" si="75"/>
        <v>-0.36513424325880239</v>
      </c>
      <c r="R164" s="45">
        <f t="shared" si="75"/>
        <v>-3.5955603454169587E-2</v>
      </c>
      <c r="S164" s="45">
        <f>(S161-S160)/S160</f>
        <v>-0.40314512179212231</v>
      </c>
    </row>
    <row r="165" spans="1:19" ht="16.95" customHeight="1" x14ac:dyDescent="0.25">
      <c r="A165" s="52"/>
      <c r="B165" s="52"/>
      <c r="C165" s="52"/>
      <c r="D165" s="54"/>
      <c r="E165" s="52"/>
      <c r="F165" s="11"/>
      <c r="G165" s="16" t="s">
        <v>134</v>
      </c>
      <c r="H165" s="30"/>
      <c r="I165" s="30"/>
      <c r="J165" s="30"/>
      <c r="K165" s="26">
        <v>1.0564666040948601E-2</v>
      </c>
      <c r="L165" s="26">
        <v>9.3274535913489692E-3</v>
      </c>
      <c r="M165" s="26">
        <v>2.6193194902863599E-2</v>
      </c>
      <c r="N165" s="26"/>
      <c r="O165" s="26"/>
      <c r="P165" s="26"/>
      <c r="Q165" s="26"/>
      <c r="R165" s="26"/>
      <c r="S165" s="26"/>
    </row>
    <row r="166" spans="1:19" ht="16.95" customHeight="1" x14ac:dyDescent="0.25">
      <c r="A166" s="52"/>
      <c r="B166" s="52"/>
      <c r="C166" s="52"/>
      <c r="D166" s="54"/>
      <c r="E166" s="52"/>
      <c r="F166" s="11"/>
      <c r="G166" s="18" t="s">
        <v>135</v>
      </c>
      <c r="H166" s="22"/>
      <c r="I166" s="22"/>
      <c r="J166" s="22"/>
      <c r="K166" s="19">
        <f>IFERROR(2-K165/K161,"")</f>
        <v>0.65475899101896284</v>
      </c>
      <c r="L166" s="19">
        <f>IFERROR(2-L165/L161,"")</f>
        <v>1.0668098217711064</v>
      </c>
      <c r="M166" s="19">
        <v>0</v>
      </c>
      <c r="N166" s="22"/>
      <c r="O166" s="22"/>
      <c r="P166" s="22"/>
      <c r="Q166" s="22"/>
      <c r="R166" s="22"/>
      <c r="S166" s="22"/>
    </row>
    <row r="167" spans="1:19" ht="16.95" customHeight="1" x14ac:dyDescent="0.25">
      <c r="A167" s="52" t="s">
        <v>78</v>
      </c>
      <c r="B167" s="52" t="s">
        <v>82</v>
      </c>
      <c r="C167" s="52" t="s">
        <v>83</v>
      </c>
      <c r="D167" s="54">
        <v>0.25</v>
      </c>
      <c r="E167" s="52" t="s">
        <v>84</v>
      </c>
      <c r="F167" s="21"/>
      <c r="G167" s="7" t="s">
        <v>22</v>
      </c>
      <c r="H167" s="4">
        <v>0.79</v>
      </c>
      <c r="I167" s="4">
        <v>0.8</v>
      </c>
      <c r="J167" s="4">
        <v>0.88600000000000001</v>
      </c>
      <c r="K167" s="4">
        <v>0.8921</v>
      </c>
      <c r="L167" s="4">
        <v>0.89400000000000002</v>
      </c>
      <c r="M167" s="4">
        <v>0.88600000000000001</v>
      </c>
      <c r="N167" s="4">
        <v>0.88400000000000001</v>
      </c>
      <c r="O167" s="4">
        <v>0.89</v>
      </c>
      <c r="P167" s="4">
        <v>0.90200000000000002</v>
      </c>
      <c r="Q167" s="4">
        <v>0.90200000000000002</v>
      </c>
      <c r="R167" s="4">
        <v>0.89700000000000002</v>
      </c>
      <c r="S167" s="4">
        <v>0.89029999999999998</v>
      </c>
    </row>
    <row r="168" spans="1:19" ht="16.95" customHeight="1" x14ac:dyDescent="0.25">
      <c r="A168" s="52"/>
      <c r="B168" s="52"/>
      <c r="C168" s="52"/>
      <c r="D168" s="54"/>
      <c r="E168" s="52"/>
      <c r="F168" s="21"/>
      <c r="G168" s="7" t="s">
        <v>23</v>
      </c>
      <c r="H168" s="4">
        <v>0.8</v>
      </c>
      <c r="I168" s="4">
        <v>0.81</v>
      </c>
      <c r="J168" s="4">
        <v>0.8</v>
      </c>
      <c r="K168" s="4">
        <v>0.88</v>
      </c>
      <c r="L168" s="4">
        <v>0.91</v>
      </c>
      <c r="M168" s="4">
        <v>0.91600000000000004</v>
      </c>
      <c r="N168" s="4">
        <v>0.91400000000000003</v>
      </c>
      <c r="O168" s="4">
        <v>0.92</v>
      </c>
      <c r="P168" s="4">
        <v>0.93200000000000005</v>
      </c>
      <c r="Q168" s="4">
        <v>0.93200000000000005</v>
      </c>
      <c r="R168" s="4">
        <v>0.92700000000000005</v>
      </c>
      <c r="S168" s="4">
        <v>0.92030000000000001</v>
      </c>
    </row>
    <row r="169" spans="1:19" ht="16.95" customHeight="1" x14ac:dyDescent="0.25">
      <c r="A169" s="52"/>
      <c r="B169" s="52"/>
      <c r="C169" s="52"/>
      <c r="D169" s="54"/>
      <c r="E169" s="52"/>
      <c r="F169" s="21"/>
      <c r="G169" s="7" t="s">
        <v>26</v>
      </c>
      <c r="H169" s="4"/>
      <c r="I169" s="4"/>
      <c r="J169" s="4">
        <f t="shared" ref="J169:S169" si="76">+J168+3%</f>
        <v>0.83000000000000007</v>
      </c>
      <c r="K169" s="4">
        <f t="shared" si="76"/>
        <v>0.91</v>
      </c>
      <c r="L169" s="4">
        <f t="shared" si="76"/>
        <v>0.94000000000000006</v>
      </c>
      <c r="M169" s="4">
        <f t="shared" si="76"/>
        <v>0.94600000000000006</v>
      </c>
      <c r="N169" s="4">
        <f t="shared" si="76"/>
        <v>0.94400000000000006</v>
      </c>
      <c r="O169" s="4">
        <f t="shared" si="76"/>
        <v>0.95000000000000007</v>
      </c>
      <c r="P169" s="4">
        <f t="shared" si="76"/>
        <v>0.96200000000000008</v>
      </c>
      <c r="Q169" s="4">
        <f t="shared" si="76"/>
        <v>0.96200000000000008</v>
      </c>
      <c r="R169" s="4">
        <f t="shared" si="76"/>
        <v>0.95700000000000007</v>
      </c>
      <c r="S169" s="4">
        <f t="shared" si="76"/>
        <v>0.95030000000000003</v>
      </c>
    </row>
    <row r="170" spans="1:19" ht="16.95" customHeight="1" x14ac:dyDescent="0.25">
      <c r="A170" s="52"/>
      <c r="B170" s="52"/>
      <c r="C170" s="52"/>
      <c r="D170" s="54"/>
      <c r="E170" s="52"/>
      <c r="F170" s="21"/>
      <c r="G170" s="7" t="s">
        <v>27</v>
      </c>
      <c r="H170" s="4"/>
      <c r="I170" s="4"/>
      <c r="J170" s="4">
        <f t="shared" ref="J170:S170" si="77">+J168-2.4%</f>
        <v>0.77600000000000002</v>
      </c>
      <c r="K170" s="4">
        <f t="shared" si="77"/>
        <v>0.85599999999999998</v>
      </c>
      <c r="L170" s="4">
        <f t="shared" si="77"/>
        <v>0.88600000000000001</v>
      </c>
      <c r="M170" s="4">
        <f t="shared" si="77"/>
        <v>0.89200000000000002</v>
      </c>
      <c r="N170" s="4">
        <f t="shared" si="77"/>
        <v>0.89</v>
      </c>
      <c r="O170" s="4">
        <f t="shared" si="77"/>
        <v>0.89600000000000002</v>
      </c>
      <c r="P170" s="4">
        <f t="shared" si="77"/>
        <v>0.90800000000000003</v>
      </c>
      <c r="Q170" s="4">
        <f t="shared" si="77"/>
        <v>0.90800000000000003</v>
      </c>
      <c r="R170" s="4">
        <f t="shared" si="77"/>
        <v>0.90300000000000002</v>
      </c>
      <c r="S170" s="4">
        <f t="shared" si="77"/>
        <v>0.89629999999999999</v>
      </c>
    </row>
    <row r="171" spans="1:19" ht="16.95" customHeight="1" x14ac:dyDescent="0.25">
      <c r="A171" s="52"/>
      <c r="B171" s="52"/>
      <c r="C171" s="52"/>
      <c r="D171" s="54"/>
      <c r="E171" s="52"/>
      <c r="F171" s="21"/>
      <c r="G171" s="7" t="s">
        <v>24</v>
      </c>
      <c r="H171" s="45">
        <f>(H168-H167)/H167</f>
        <v>1.2658227848101276E-2</v>
      </c>
      <c r="I171" s="45">
        <f t="shared" ref="I171:S171" si="78">(I168-I167)/I167</f>
        <v>1.2500000000000011E-2</v>
      </c>
      <c r="J171" s="45">
        <f t="shared" si="78"/>
        <v>-9.7065462753950296E-2</v>
      </c>
      <c r="K171" s="45">
        <f t="shared" si="78"/>
        <v>-1.3563501849568433E-2</v>
      </c>
      <c r="L171" s="45">
        <f t="shared" si="78"/>
        <v>1.7897091722595095E-2</v>
      </c>
      <c r="M171" s="45">
        <f t="shared" si="78"/>
        <v>3.3860045146726893E-2</v>
      </c>
      <c r="N171" s="45">
        <f t="shared" si="78"/>
        <v>3.3936651583710439E-2</v>
      </c>
      <c r="O171" s="45">
        <f t="shared" si="78"/>
        <v>3.3707865168539353E-2</v>
      </c>
      <c r="P171" s="45">
        <f t="shared" si="78"/>
        <v>3.3259423503325974E-2</v>
      </c>
      <c r="Q171" s="45">
        <f t="shared" si="78"/>
        <v>3.3259423503325974E-2</v>
      </c>
      <c r="R171" s="45">
        <f t="shared" si="78"/>
        <v>3.3444816053511732E-2</v>
      </c>
      <c r="S171" s="45">
        <f t="shared" si="78"/>
        <v>3.3696506795462232E-2</v>
      </c>
    </row>
    <row r="172" spans="1:19" ht="16.95" customHeight="1" x14ac:dyDescent="0.25">
      <c r="A172" s="52"/>
      <c r="B172" s="52"/>
      <c r="C172" s="52"/>
      <c r="D172" s="54"/>
      <c r="E172" s="52"/>
      <c r="F172" s="21"/>
      <c r="G172" s="16" t="s">
        <v>134</v>
      </c>
      <c r="H172" s="26"/>
      <c r="I172" s="26"/>
      <c r="J172" s="26"/>
      <c r="K172" s="26">
        <v>0.89680000000000004</v>
      </c>
      <c r="L172" s="26">
        <v>0.91090000000000004</v>
      </c>
      <c r="M172" s="26">
        <v>0.90969999999999995</v>
      </c>
      <c r="N172" s="26">
        <v>0.89349999999999996</v>
      </c>
      <c r="O172" s="26"/>
      <c r="P172" s="26"/>
      <c r="Q172" s="26"/>
      <c r="R172" s="26"/>
      <c r="S172" s="26"/>
    </row>
    <row r="173" spans="1:19" s="20" customFormat="1" ht="16.95" customHeight="1" x14ac:dyDescent="0.25">
      <c r="A173" s="53"/>
      <c r="B173" s="53"/>
      <c r="C173" s="53"/>
      <c r="D173" s="55"/>
      <c r="E173" s="53"/>
      <c r="F173" s="15"/>
      <c r="G173" s="18" t="s">
        <v>135</v>
      </c>
      <c r="H173" s="19"/>
      <c r="I173" s="19"/>
      <c r="J173" s="19"/>
      <c r="K173" s="19">
        <f>IFERROR(K172/K168,"")</f>
        <v>1.019090909090909</v>
      </c>
      <c r="L173" s="19">
        <f>IFERROR(L172/L168,"")</f>
        <v>1.0009890109890109</v>
      </c>
      <c r="M173" s="19">
        <f>IFERROR(M172/M168,"")</f>
        <v>0.99312227074235804</v>
      </c>
      <c r="N173" s="19">
        <f>IFERROR(N172/N168,"")</f>
        <v>0.97757111597374169</v>
      </c>
      <c r="O173" s="19"/>
      <c r="P173" s="19"/>
      <c r="Q173" s="19"/>
      <c r="R173" s="19"/>
      <c r="S173" s="19"/>
    </row>
    <row r="174" spans="1:19" ht="16.95" customHeight="1" x14ac:dyDescent="0.25">
      <c r="A174" s="52"/>
      <c r="B174" s="52" t="s">
        <v>85</v>
      </c>
      <c r="C174" s="52"/>
      <c r="D174" s="54">
        <v>0.15</v>
      </c>
      <c r="E174" s="52" t="s">
        <v>86</v>
      </c>
      <c r="F174" s="21"/>
      <c r="G174" s="7" t="s">
        <v>22</v>
      </c>
      <c r="H174" s="4">
        <v>0.66609858428629898</v>
      </c>
      <c r="I174" s="4">
        <v>0.51868205729915395</v>
      </c>
      <c r="J174" s="4">
        <v>0.71249042534018203</v>
      </c>
      <c r="K174" s="4">
        <v>0.72847399068409602</v>
      </c>
      <c r="L174" s="4">
        <v>0.75629502525395298</v>
      </c>
      <c r="M174" s="4">
        <v>0.76530357709167196</v>
      </c>
      <c r="N174" s="4">
        <v>0.76582325633197401</v>
      </c>
      <c r="O174" s="4">
        <v>0.73505452519257697</v>
      </c>
      <c r="P174" s="4">
        <v>0.717505173014095</v>
      </c>
      <c r="Q174" s="4">
        <v>0.71895306587061103</v>
      </c>
      <c r="R174" s="4">
        <v>0.71795878370886701</v>
      </c>
      <c r="S174" s="4">
        <v>0.70756452994994301</v>
      </c>
    </row>
    <row r="175" spans="1:19" ht="16.95" customHeight="1" x14ac:dyDescent="0.25">
      <c r="A175" s="52"/>
      <c r="B175" s="52"/>
      <c r="C175" s="52"/>
      <c r="D175" s="54"/>
      <c r="E175" s="52"/>
      <c r="F175" s="21"/>
      <c r="G175" s="7" t="s">
        <v>23</v>
      </c>
      <c r="H175" s="4">
        <v>0.65</v>
      </c>
      <c r="I175" s="4">
        <v>0.27829999999999999</v>
      </c>
      <c r="J175" s="4">
        <v>0.55000000000000004</v>
      </c>
      <c r="K175" s="4">
        <v>0.65</v>
      </c>
      <c r="L175" s="4">
        <v>0.75</v>
      </c>
      <c r="M175" s="4">
        <v>0.78500000000000003</v>
      </c>
      <c r="N175" s="4">
        <v>0.78600000000000003</v>
      </c>
      <c r="O175" s="4">
        <v>0.76</v>
      </c>
      <c r="P175" s="4">
        <v>0.73799999999999999</v>
      </c>
      <c r="Q175" s="4">
        <v>0.73899999999999999</v>
      </c>
      <c r="R175" s="4">
        <v>0.73799999999999999</v>
      </c>
      <c r="S175" s="4">
        <v>0.73040000000000005</v>
      </c>
    </row>
    <row r="176" spans="1:19" ht="16.95" customHeight="1" x14ac:dyDescent="0.25">
      <c r="A176" s="52"/>
      <c r="B176" s="52"/>
      <c r="C176" s="52"/>
      <c r="D176" s="54"/>
      <c r="E176" s="52"/>
      <c r="F176" s="21"/>
      <c r="G176" s="7" t="s">
        <v>26</v>
      </c>
      <c r="H176" s="4"/>
      <c r="I176" s="4"/>
      <c r="J176" s="4">
        <f>+J175+3%</f>
        <v>0.58000000000000007</v>
      </c>
      <c r="K176" s="4">
        <f t="shared" ref="K176:S176" si="79">+K175+3%</f>
        <v>0.68</v>
      </c>
      <c r="L176" s="4">
        <f t="shared" si="79"/>
        <v>0.78</v>
      </c>
      <c r="M176" s="4">
        <f t="shared" si="79"/>
        <v>0.81500000000000006</v>
      </c>
      <c r="N176" s="4">
        <f t="shared" si="79"/>
        <v>0.81600000000000006</v>
      </c>
      <c r="O176" s="4">
        <f t="shared" si="79"/>
        <v>0.79</v>
      </c>
      <c r="P176" s="4">
        <f t="shared" si="79"/>
        <v>0.76800000000000002</v>
      </c>
      <c r="Q176" s="4">
        <f t="shared" si="79"/>
        <v>0.76900000000000002</v>
      </c>
      <c r="R176" s="4">
        <f t="shared" si="79"/>
        <v>0.76800000000000002</v>
      </c>
      <c r="S176" s="4">
        <f t="shared" si="79"/>
        <v>0.76040000000000008</v>
      </c>
    </row>
    <row r="177" spans="1:19" ht="16.95" customHeight="1" x14ac:dyDescent="0.25">
      <c r="A177" s="52"/>
      <c r="B177" s="52"/>
      <c r="C177" s="52"/>
      <c r="D177" s="54"/>
      <c r="E177" s="52"/>
      <c r="F177" s="21"/>
      <c r="G177" s="7" t="s">
        <v>27</v>
      </c>
      <c r="H177" s="4"/>
      <c r="I177" s="4"/>
      <c r="J177" s="4">
        <f>+J175-2.4%</f>
        <v>0.52600000000000002</v>
      </c>
      <c r="K177" s="4">
        <f t="shared" ref="K177:S177" si="80">+K175-2.4%</f>
        <v>0.626</v>
      </c>
      <c r="L177" s="4">
        <f t="shared" si="80"/>
        <v>0.72599999999999998</v>
      </c>
      <c r="M177" s="4">
        <f t="shared" si="80"/>
        <v>0.76100000000000001</v>
      </c>
      <c r="N177" s="4">
        <f t="shared" si="80"/>
        <v>0.76200000000000001</v>
      </c>
      <c r="O177" s="4">
        <f t="shared" si="80"/>
        <v>0.73599999999999999</v>
      </c>
      <c r="P177" s="4">
        <f t="shared" si="80"/>
        <v>0.71399999999999997</v>
      </c>
      <c r="Q177" s="4">
        <f t="shared" si="80"/>
        <v>0.71499999999999997</v>
      </c>
      <c r="R177" s="4">
        <f t="shared" si="80"/>
        <v>0.71399999999999997</v>
      </c>
      <c r="S177" s="4">
        <f t="shared" si="80"/>
        <v>0.70640000000000003</v>
      </c>
    </row>
    <row r="178" spans="1:19" ht="16.95" customHeight="1" x14ac:dyDescent="0.25">
      <c r="A178" s="52"/>
      <c r="B178" s="52"/>
      <c r="C178" s="52"/>
      <c r="D178" s="54"/>
      <c r="E178" s="52"/>
      <c r="F178" s="21"/>
      <c r="G178" s="7" t="s">
        <v>24</v>
      </c>
      <c r="H178" s="4">
        <f>(H175-H174)/H174</f>
        <v>-2.4168470953211854E-2</v>
      </c>
      <c r="I178" s="4">
        <f t="shared" ref="I178:R178" si="81">(I175-I174)/I174</f>
        <v>-0.46344779796481705</v>
      </c>
      <c r="J178" s="4">
        <f t="shared" si="81"/>
        <v>-0.22805980201432199</v>
      </c>
      <c r="K178" s="4">
        <f t="shared" si="81"/>
        <v>-0.10772380577431813</v>
      </c>
      <c r="L178" s="4">
        <f t="shared" si="81"/>
        <v>-8.3235047749245748E-3</v>
      </c>
      <c r="M178" s="4">
        <f t="shared" si="81"/>
        <v>2.5736744865585193E-2</v>
      </c>
      <c r="N178" s="4">
        <f t="shared" si="81"/>
        <v>2.6346475510113883E-2</v>
      </c>
      <c r="O178" s="4">
        <f t="shared" si="81"/>
        <v>3.3936903933606252E-2</v>
      </c>
      <c r="P178" s="4">
        <f t="shared" si="81"/>
        <v>2.8564012855559411E-2</v>
      </c>
      <c r="Q178" s="4">
        <f t="shared" si="81"/>
        <v>2.788350878664558E-2</v>
      </c>
      <c r="R178" s="4">
        <f t="shared" si="81"/>
        <v>2.7914159901496118E-2</v>
      </c>
      <c r="S178" s="4">
        <f>(S175-S174)/S174</f>
        <v>3.2273339156320545E-2</v>
      </c>
    </row>
    <row r="179" spans="1:19" ht="16.95" customHeight="1" x14ac:dyDescent="0.25">
      <c r="A179" s="52"/>
      <c r="B179" s="52"/>
      <c r="C179" s="52"/>
      <c r="D179" s="54"/>
      <c r="E179" s="52"/>
      <c r="F179" s="21"/>
      <c r="G179" s="16" t="s">
        <v>134</v>
      </c>
      <c r="H179" s="26"/>
      <c r="I179" s="26"/>
      <c r="J179" s="26"/>
      <c r="K179" s="26">
        <v>0.68200000000000005</v>
      </c>
      <c r="L179" s="26">
        <v>0.69369999999999998</v>
      </c>
      <c r="M179" s="26">
        <v>0.75090000000000001</v>
      </c>
      <c r="N179" s="26">
        <v>0.76219999999999999</v>
      </c>
      <c r="O179" s="26"/>
      <c r="P179" s="26"/>
      <c r="Q179" s="26"/>
      <c r="R179" s="26"/>
      <c r="S179" s="26"/>
    </row>
    <row r="180" spans="1:19" ht="16.95" customHeight="1" x14ac:dyDescent="0.25">
      <c r="A180" s="52"/>
      <c r="B180" s="52"/>
      <c r="C180" s="52"/>
      <c r="D180" s="54"/>
      <c r="E180" s="52"/>
      <c r="F180" s="21"/>
      <c r="G180" s="18" t="s">
        <v>135</v>
      </c>
      <c r="H180" s="19"/>
      <c r="I180" s="19"/>
      <c r="J180" s="19"/>
      <c r="K180" s="19">
        <f>IFERROR(K179/K175,"")</f>
        <v>1.0492307692307692</v>
      </c>
      <c r="L180" s="19">
        <f>IFERROR(L179/L175,"")</f>
        <v>0.92493333333333327</v>
      </c>
      <c r="M180" s="19">
        <f>IFERROR(M179/M175,"")</f>
        <v>0.95656050955414007</v>
      </c>
      <c r="N180" s="19">
        <f>IFERROR(N179/N175,"")</f>
        <v>0.96972010178117041</v>
      </c>
      <c r="O180" s="19"/>
      <c r="P180" s="19"/>
      <c r="Q180" s="19"/>
      <c r="R180" s="19"/>
      <c r="S180" s="19"/>
    </row>
    <row r="181" spans="1:19" ht="16.95" customHeight="1" x14ac:dyDescent="0.25">
      <c r="A181" s="52" t="s">
        <v>87</v>
      </c>
      <c r="B181" s="52" t="s">
        <v>88</v>
      </c>
      <c r="C181" s="52" t="s">
        <v>89</v>
      </c>
      <c r="D181" s="54">
        <v>0.3</v>
      </c>
      <c r="E181" s="52" t="s">
        <v>149</v>
      </c>
      <c r="F181" s="21"/>
      <c r="G181" s="7" t="s">
        <v>22</v>
      </c>
      <c r="H181" s="4">
        <v>0.99992857142857094</v>
      </c>
      <c r="I181" s="4">
        <v>0.99890476190476196</v>
      </c>
      <c r="J181" s="4">
        <v>0.99997619047619102</v>
      </c>
      <c r="K181" s="45">
        <v>1</v>
      </c>
      <c r="L181" s="45">
        <v>1</v>
      </c>
      <c r="M181" s="4">
        <v>0.99976190476190496</v>
      </c>
      <c r="N181" s="4">
        <v>0.999428571428571</v>
      </c>
      <c r="O181" s="4">
        <v>0.99940476190476202</v>
      </c>
      <c r="P181" s="4">
        <v>0.99990476190476196</v>
      </c>
      <c r="Q181" s="4">
        <v>0.999428571428571</v>
      </c>
      <c r="R181" s="4">
        <v>0.99850000000000005</v>
      </c>
      <c r="S181" s="4">
        <v>0.99978571428571394</v>
      </c>
    </row>
    <row r="182" spans="1:19" ht="16.95" customHeight="1" x14ac:dyDescent="0.25">
      <c r="A182" s="52"/>
      <c r="B182" s="52"/>
      <c r="C182" s="52"/>
      <c r="D182" s="54"/>
      <c r="E182" s="52"/>
      <c r="F182" s="11"/>
      <c r="G182" s="7" t="s">
        <v>23</v>
      </c>
      <c r="H182" s="45">
        <v>1</v>
      </c>
      <c r="I182" s="45">
        <v>0.99940476190476202</v>
      </c>
      <c r="J182" s="45">
        <v>1</v>
      </c>
      <c r="K182" s="45">
        <v>0.99950000000000006</v>
      </c>
      <c r="L182" s="45">
        <v>0.99950000000000006</v>
      </c>
      <c r="M182" s="45">
        <v>0.99950000000000006</v>
      </c>
      <c r="N182" s="45">
        <v>0.99950000000000006</v>
      </c>
      <c r="O182" s="45">
        <v>0.99950000000000006</v>
      </c>
      <c r="P182" s="45">
        <v>0.99950000000000006</v>
      </c>
      <c r="Q182" s="45">
        <v>0.99950000000000006</v>
      </c>
      <c r="R182" s="45">
        <v>0.99950000000000006</v>
      </c>
      <c r="S182" s="45">
        <v>0.99950000000000006</v>
      </c>
    </row>
    <row r="183" spans="1:19" ht="16.95" customHeight="1" x14ac:dyDescent="0.25">
      <c r="A183" s="52"/>
      <c r="B183" s="52"/>
      <c r="C183" s="52"/>
      <c r="D183" s="54"/>
      <c r="E183" s="52"/>
      <c r="F183" s="11"/>
      <c r="G183" s="7" t="s">
        <v>26</v>
      </c>
      <c r="H183" s="45"/>
      <c r="I183" s="45"/>
      <c r="J183" s="45"/>
      <c r="K183" s="45">
        <f t="shared" ref="K183:S183" si="82">+K182+0.05%</f>
        <v>1</v>
      </c>
      <c r="L183" s="45">
        <f t="shared" si="82"/>
        <v>1</v>
      </c>
      <c r="M183" s="45">
        <f t="shared" si="82"/>
        <v>1</v>
      </c>
      <c r="N183" s="45">
        <f t="shared" si="82"/>
        <v>1</v>
      </c>
      <c r="O183" s="45">
        <f t="shared" si="82"/>
        <v>1</v>
      </c>
      <c r="P183" s="45">
        <f t="shared" si="82"/>
        <v>1</v>
      </c>
      <c r="Q183" s="45">
        <f t="shared" si="82"/>
        <v>1</v>
      </c>
      <c r="R183" s="45">
        <f t="shared" si="82"/>
        <v>1</v>
      </c>
      <c r="S183" s="45">
        <f t="shared" si="82"/>
        <v>1</v>
      </c>
    </row>
    <row r="184" spans="1:19" ht="16.95" customHeight="1" x14ac:dyDescent="0.25">
      <c r="A184" s="52"/>
      <c r="B184" s="52"/>
      <c r="C184" s="52"/>
      <c r="D184" s="54"/>
      <c r="E184" s="52"/>
      <c r="F184" s="11"/>
      <c r="G184" s="7" t="s">
        <v>27</v>
      </c>
      <c r="H184" s="45"/>
      <c r="I184" s="45"/>
      <c r="J184" s="45"/>
      <c r="K184" s="45">
        <f t="shared" ref="K184:S184" si="83">+K182-0.04%</f>
        <v>0.9991000000000001</v>
      </c>
      <c r="L184" s="45">
        <f t="shared" si="83"/>
        <v>0.9991000000000001</v>
      </c>
      <c r="M184" s="45">
        <f t="shared" si="83"/>
        <v>0.9991000000000001</v>
      </c>
      <c r="N184" s="45">
        <f t="shared" si="83"/>
        <v>0.9991000000000001</v>
      </c>
      <c r="O184" s="45">
        <f t="shared" si="83"/>
        <v>0.9991000000000001</v>
      </c>
      <c r="P184" s="45">
        <f t="shared" si="83"/>
        <v>0.9991000000000001</v>
      </c>
      <c r="Q184" s="45">
        <f t="shared" si="83"/>
        <v>0.9991000000000001</v>
      </c>
      <c r="R184" s="45">
        <f t="shared" si="83"/>
        <v>0.9991000000000001</v>
      </c>
      <c r="S184" s="45">
        <f t="shared" si="83"/>
        <v>0.9991000000000001</v>
      </c>
    </row>
    <row r="185" spans="1:19" ht="16.95" customHeight="1" x14ac:dyDescent="0.25">
      <c r="A185" s="52"/>
      <c r="B185" s="52"/>
      <c r="C185" s="52"/>
      <c r="D185" s="54"/>
      <c r="E185" s="52"/>
      <c r="F185" s="11"/>
      <c r="G185" s="7" t="s">
        <v>24</v>
      </c>
      <c r="H185" s="4">
        <f>(H182-H181)/H181</f>
        <v>7.1433673834329147E-5</v>
      </c>
      <c r="I185" s="4">
        <f t="shared" ref="I185:S185" si="84">(I182-I181)/I181</f>
        <v>5.0054821947853243E-4</v>
      </c>
      <c r="J185" s="4">
        <f t="shared" si="84"/>
        <v>2.381009071590373E-5</v>
      </c>
      <c r="K185" s="4">
        <f t="shared" si="84"/>
        <v>-4.9999999999994493E-4</v>
      </c>
      <c r="L185" s="4">
        <f t="shared" si="84"/>
        <v>-4.9999999999994493E-4</v>
      </c>
      <c r="M185" s="4">
        <f t="shared" si="84"/>
        <v>-2.619671350322961E-4</v>
      </c>
      <c r="N185" s="4">
        <f t="shared" si="84"/>
        <v>7.146941109253671E-5</v>
      </c>
      <c r="O185" s="4">
        <f t="shared" si="84"/>
        <v>9.529481834419441E-5</v>
      </c>
      <c r="P185" s="4">
        <f t="shared" si="84"/>
        <v>-4.0480045718640167E-4</v>
      </c>
      <c r="Q185" s="4">
        <f t="shared" si="84"/>
        <v>7.146941109253671E-5</v>
      </c>
      <c r="R185" s="4">
        <f t="shared" si="84"/>
        <v>1.0015022533800709E-3</v>
      </c>
      <c r="S185" s="4">
        <f t="shared" si="84"/>
        <v>-2.8577552332603083E-4</v>
      </c>
    </row>
    <row r="186" spans="1:19" ht="16.95" customHeight="1" x14ac:dyDescent="0.25">
      <c r="A186" s="52"/>
      <c r="B186" s="52"/>
      <c r="C186" s="52"/>
      <c r="D186" s="54"/>
      <c r="E186" s="52"/>
      <c r="F186" s="11"/>
      <c r="G186" s="16" t="s">
        <v>134</v>
      </c>
      <c r="H186" s="19"/>
      <c r="I186" s="19"/>
      <c r="J186" s="19"/>
      <c r="K186" s="19">
        <v>0.99809999999999999</v>
      </c>
      <c r="L186" s="19">
        <v>1</v>
      </c>
      <c r="M186" s="19">
        <v>0.99939999999999996</v>
      </c>
      <c r="N186" s="19">
        <v>0.99965300000000001</v>
      </c>
      <c r="O186" s="19"/>
      <c r="P186" s="19"/>
      <c r="Q186" s="19"/>
      <c r="R186" s="19"/>
      <c r="S186" s="19"/>
    </row>
    <row r="187" spans="1:19" ht="16.95" customHeight="1" x14ac:dyDescent="0.25">
      <c r="A187" s="52"/>
      <c r="B187" s="52"/>
      <c r="C187" s="52"/>
      <c r="D187" s="54"/>
      <c r="E187" s="52"/>
      <c r="F187" s="11"/>
      <c r="G187" s="18" t="s">
        <v>135</v>
      </c>
      <c r="H187" s="19"/>
      <c r="I187" s="19"/>
      <c r="J187" s="19"/>
      <c r="K187" s="19">
        <f>IFERROR(K186/K182,"")</f>
        <v>0.99859929964982486</v>
      </c>
      <c r="L187" s="19">
        <f>IFERROR(L186/L182,"")</f>
        <v>1.0005002501250624</v>
      </c>
      <c r="M187" s="19">
        <f>IFERROR(M186/M182,"")</f>
        <v>0.99989994997498743</v>
      </c>
      <c r="N187" s="19">
        <f>IFERROR(N186/N182,"")</f>
        <v>1.0001530765382691</v>
      </c>
      <c r="O187" s="19"/>
      <c r="P187" s="19"/>
      <c r="Q187" s="19"/>
      <c r="R187" s="19"/>
      <c r="S187" s="19"/>
    </row>
    <row r="188" spans="1:19" ht="16.95" customHeight="1" x14ac:dyDescent="0.25">
      <c r="A188" s="52" t="s">
        <v>87</v>
      </c>
      <c r="B188" s="52" t="s">
        <v>90</v>
      </c>
      <c r="C188" s="52" t="s">
        <v>91</v>
      </c>
      <c r="D188" s="54">
        <v>0.2</v>
      </c>
      <c r="E188" s="52" t="s">
        <v>139</v>
      </c>
      <c r="F188" s="21"/>
      <c r="G188" s="7" t="s">
        <v>22</v>
      </c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</row>
    <row r="189" spans="1:19" ht="16.95" customHeight="1" x14ac:dyDescent="0.25">
      <c r="A189" s="52"/>
      <c r="B189" s="52"/>
      <c r="C189" s="52"/>
      <c r="D189" s="54"/>
      <c r="E189" s="52"/>
      <c r="F189" s="11"/>
      <c r="G189" s="7" t="s">
        <v>23</v>
      </c>
      <c r="H189" s="45">
        <v>1</v>
      </c>
      <c r="I189" s="45">
        <v>1</v>
      </c>
      <c r="J189" s="45">
        <v>1</v>
      </c>
      <c r="K189" s="45">
        <v>1</v>
      </c>
      <c r="L189" s="45">
        <v>1</v>
      </c>
      <c r="M189" s="45">
        <v>1</v>
      </c>
      <c r="N189" s="45">
        <v>1</v>
      </c>
      <c r="O189" s="45">
        <v>1</v>
      </c>
      <c r="P189" s="45">
        <v>1</v>
      </c>
      <c r="Q189" s="45">
        <v>1</v>
      </c>
      <c r="R189" s="45">
        <v>1</v>
      </c>
      <c r="S189" s="45">
        <v>1</v>
      </c>
    </row>
    <row r="190" spans="1:19" ht="16.95" customHeight="1" x14ac:dyDescent="0.25">
      <c r="A190" s="52"/>
      <c r="B190" s="52"/>
      <c r="C190" s="52"/>
      <c r="D190" s="54"/>
      <c r="E190" s="52"/>
      <c r="F190" s="11"/>
      <c r="G190" s="7" t="s">
        <v>26</v>
      </c>
      <c r="H190" s="21" t="s">
        <v>92</v>
      </c>
      <c r="I190" s="21" t="s">
        <v>92</v>
      </c>
      <c r="J190" s="21" t="s">
        <v>92</v>
      </c>
      <c r="K190" s="21" t="s">
        <v>92</v>
      </c>
      <c r="L190" s="21" t="s">
        <v>92</v>
      </c>
      <c r="M190" s="21" t="s">
        <v>92</v>
      </c>
      <c r="N190" s="21" t="s">
        <v>92</v>
      </c>
      <c r="O190" s="21" t="s">
        <v>92</v>
      </c>
      <c r="P190" s="21" t="s">
        <v>92</v>
      </c>
      <c r="Q190" s="21" t="s">
        <v>92</v>
      </c>
      <c r="R190" s="21" t="s">
        <v>92</v>
      </c>
      <c r="S190" s="21" t="s">
        <v>92</v>
      </c>
    </row>
    <row r="191" spans="1:19" ht="16.95" customHeight="1" x14ac:dyDescent="0.25">
      <c r="A191" s="52"/>
      <c r="B191" s="52"/>
      <c r="C191" s="52"/>
      <c r="D191" s="54"/>
      <c r="E191" s="52"/>
      <c r="F191" s="11"/>
      <c r="G191" s="7" t="s">
        <v>27</v>
      </c>
      <c r="H191" s="21" t="s">
        <v>93</v>
      </c>
      <c r="I191" s="21" t="s">
        <v>93</v>
      </c>
      <c r="J191" s="21" t="s">
        <v>93</v>
      </c>
      <c r="K191" s="21" t="s">
        <v>93</v>
      </c>
      <c r="L191" s="21" t="s">
        <v>93</v>
      </c>
      <c r="M191" s="21" t="s">
        <v>93</v>
      </c>
      <c r="N191" s="21" t="s">
        <v>93</v>
      </c>
      <c r="O191" s="21" t="s">
        <v>93</v>
      </c>
      <c r="P191" s="21" t="s">
        <v>93</v>
      </c>
      <c r="Q191" s="21" t="s">
        <v>93</v>
      </c>
      <c r="R191" s="21" t="s">
        <v>93</v>
      </c>
      <c r="S191" s="21" t="s">
        <v>93</v>
      </c>
    </row>
    <row r="192" spans="1:19" ht="16.95" customHeight="1" x14ac:dyDescent="0.25">
      <c r="A192" s="52"/>
      <c r="B192" s="52"/>
      <c r="C192" s="52"/>
      <c r="D192" s="54"/>
      <c r="E192" s="52"/>
      <c r="F192" s="11"/>
      <c r="G192" s="7" t="s">
        <v>24</v>
      </c>
      <c r="H192" s="15" t="str">
        <f t="shared" ref="H192:S192" si="85">IFERROR(H189/H188,"")</f>
        <v/>
      </c>
      <c r="I192" s="15" t="str">
        <f t="shared" si="85"/>
        <v/>
      </c>
      <c r="J192" s="15" t="str">
        <f t="shared" si="85"/>
        <v/>
      </c>
      <c r="K192" s="15" t="str">
        <f t="shared" si="85"/>
        <v/>
      </c>
      <c r="L192" s="15" t="str">
        <f>IFERROR(L189/L188,"")</f>
        <v/>
      </c>
      <c r="M192" s="15" t="str">
        <f t="shared" si="85"/>
        <v/>
      </c>
      <c r="N192" s="15" t="str">
        <f t="shared" si="85"/>
        <v/>
      </c>
      <c r="O192" s="15" t="str">
        <f t="shared" si="85"/>
        <v/>
      </c>
      <c r="P192" s="15" t="str">
        <f t="shared" si="85"/>
        <v/>
      </c>
      <c r="Q192" s="15" t="str">
        <f t="shared" si="85"/>
        <v/>
      </c>
      <c r="R192" s="15" t="str">
        <f t="shared" si="85"/>
        <v/>
      </c>
      <c r="S192" s="15" t="str">
        <f t="shared" si="85"/>
        <v/>
      </c>
    </row>
    <row r="193" spans="1:19" ht="16.95" customHeight="1" x14ac:dyDescent="0.25">
      <c r="A193" s="52"/>
      <c r="B193" s="52"/>
      <c r="C193" s="52"/>
      <c r="D193" s="54"/>
      <c r="E193" s="52"/>
      <c r="F193" s="11"/>
      <c r="G193" s="16" t="s">
        <v>134</v>
      </c>
      <c r="H193" s="27"/>
      <c r="I193" s="27"/>
      <c r="J193" s="27"/>
      <c r="K193" s="19">
        <v>1</v>
      </c>
      <c r="L193" s="27" t="s">
        <v>140</v>
      </c>
      <c r="M193" s="19">
        <v>1</v>
      </c>
      <c r="N193" s="19">
        <v>1</v>
      </c>
      <c r="O193" s="27"/>
      <c r="P193" s="27"/>
      <c r="Q193" s="27"/>
      <c r="R193" s="27"/>
      <c r="S193" s="27"/>
    </row>
    <row r="194" spans="1:19" ht="16.95" customHeight="1" x14ac:dyDescent="0.25">
      <c r="A194" s="52"/>
      <c r="B194" s="52"/>
      <c r="C194" s="52"/>
      <c r="D194" s="54"/>
      <c r="E194" s="52"/>
      <c r="F194" s="11"/>
      <c r="G194" s="18" t="s">
        <v>135</v>
      </c>
      <c r="H194" s="22"/>
      <c r="I194" s="22"/>
      <c r="J194" s="22"/>
      <c r="K194" s="19">
        <f>IFERROR(K193/K189,"")</f>
        <v>1</v>
      </c>
      <c r="L194" s="19">
        <v>1.25</v>
      </c>
      <c r="M194" s="19">
        <v>1</v>
      </c>
      <c r="N194" s="19">
        <v>1</v>
      </c>
      <c r="O194" s="22"/>
      <c r="P194" s="22"/>
      <c r="Q194" s="22"/>
      <c r="R194" s="22"/>
      <c r="S194" s="22"/>
    </row>
    <row r="195" spans="1:19" ht="16.95" customHeight="1" x14ac:dyDescent="0.25">
      <c r="A195" s="52" t="s">
        <v>87</v>
      </c>
      <c r="B195" s="52" t="s">
        <v>94</v>
      </c>
      <c r="C195" s="52" t="s">
        <v>95</v>
      </c>
      <c r="D195" s="54">
        <v>0.25</v>
      </c>
      <c r="E195" s="52" t="s">
        <v>141</v>
      </c>
      <c r="F195" s="21"/>
      <c r="G195" s="7" t="s">
        <v>22</v>
      </c>
      <c r="H195" s="11"/>
      <c r="I195" s="11"/>
      <c r="J195" s="11"/>
      <c r="K195" s="11"/>
      <c r="L195" s="11"/>
      <c r="M195" s="11"/>
      <c r="N195" s="11"/>
      <c r="O195" s="11">
        <v>79</v>
      </c>
      <c r="P195" s="11">
        <v>99</v>
      </c>
      <c r="Q195" s="11">
        <v>99</v>
      </c>
      <c r="R195" s="11">
        <v>0</v>
      </c>
      <c r="S195" s="11">
        <v>99</v>
      </c>
    </row>
    <row r="196" spans="1:19" ht="16.95" customHeight="1" x14ac:dyDescent="0.25">
      <c r="A196" s="52"/>
      <c r="B196" s="52"/>
      <c r="C196" s="52"/>
      <c r="D196" s="54"/>
      <c r="E196" s="52"/>
      <c r="F196" s="11"/>
      <c r="G196" s="7" t="s">
        <v>23</v>
      </c>
      <c r="H196" s="11">
        <v>100</v>
      </c>
      <c r="I196" s="11">
        <v>80</v>
      </c>
      <c r="J196" s="11">
        <v>80</v>
      </c>
      <c r="K196" s="11">
        <v>100</v>
      </c>
      <c r="L196" s="11">
        <v>100</v>
      </c>
      <c r="M196" s="11">
        <v>100</v>
      </c>
      <c r="N196" s="11">
        <v>100</v>
      </c>
      <c r="O196" s="11">
        <v>100</v>
      </c>
      <c r="P196" s="11">
        <v>100</v>
      </c>
      <c r="Q196" s="11">
        <v>100</v>
      </c>
      <c r="R196" s="11">
        <v>100</v>
      </c>
      <c r="S196" s="11">
        <v>100</v>
      </c>
    </row>
    <row r="197" spans="1:19" ht="16.95" customHeight="1" x14ac:dyDescent="0.25">
      <c r="A197" s="52"/>
      <c r="B197" s="52"/>
      <c r="C197" s="52"/>
      <c r="D197" s="54"/>
      <c r="E197" s="52"/>
      <c r="F197" s="11"/>
      <c r="G197" s="7" t="s">
        <v>24</v>
      </c>
      <c r="H197" s="11"/>
      <c r="I197" s="11"/>
      <c r="J197" s="11"/>
      <c r="K197" s="21"/>
      <c r="L197" s="15" t="str">
        <f t="shared" ref="L197:S197" si="86">IFERROR(L194/L193,"")</f>
        <v/>
      </c>
      <c r="M197" s="15"/>
      <c r="N197" s="15"/>
      <c r="O197" s="15" t="str">
        <f t="shared" si="86"/>
        <v/>
      </c>
      <c r="P197" s="15" t="str">
        <f t="shared" si="86"/>
        <v/>
      </c>
      <c r="Q197" s="15" t="str">
        <f t="shared" si="86"/>
        <v/>
      </c>
      <c r="R197" s="15" t="str">
        <f t="shared" si="86"/>
        <v/>
      </c>
      <c r="S197" s="15" t="str">
        <f t="shared" si="86"/>
        <v/>
      </c>
    </row>
    <row r="198" spans="1:19" ht="16.95" customHeight="1" x14ac:dyDescent="0.25">
      <c r="A198" s="52"/>
      <c r="B198" s="52"/>
      <c r="C198" s="52"/>
      <c r="D198" s="54"/>
      <c r="E198" s="52"/>
      <c r="F198" s="11"/>
      <c r="G198" s="16" t="s">
        <v>134</v>
      </c>
      <c r="H198" s="22"/>
      <c r="I198" s="22"/>
      <c r="J198" s="22"/>
      <c r="K198" s="36">
        <v>1.1574074074074073E-5</v>
      </c>
      <c r="L198" s="44" t="s">
        <v>145</v>
      </c>
      <c r="M198" s="44" t="s">
        <v>147</v>
      </c>
      <c r="N198" s="44" t="s">
        <v>147</v>
      </c>
      <c r="O198" s="22"/>
      <c r="P198" s="22"/>
      <c r="Q198" s="22"/>
      <c r="R198" s="22"/>
      <c r="S198" s="22"/>
    </row>
    <row r="199" spans="1:19" ht="16.95" customHeight="1" x14ac:dyDescent="0.25">
      <c r="A199" s="52"/>
      <c r="B199" s="52"/>
      <c r="C199" s="52"/>
      <c r="D199" s="54"/>
      <c r="E199" s="52"/>
      <c r="F199" s="11"/>
      <c r="G199" s="18" t="s">
        <v>135</v>
      </c>
      <c r="H199" s="19" t="str">
        <f t="shared" ref="H199:J199" si="87">IFERROR(H196/H195,"")</f>
        <v/>
      </c>
      <c r="I199" s="19" t="str">
        <f t="shared" si="87"/>
        <v/>
      </c>
      <c r="J199" s="19" t="str">
        <f t="shared" si="87"/>
        <v/>
      </c>
      <c r="K199" s="19">
        <v>1.3</v>
      </c>
      <c r="L199" s="19">
        <v>1.3</v>
      </c>
      <c r="M199" s="19">
        <v>1.2</v>
      </c>
      <c r="N199" s="19">
        <v>1.2</v>
      </c>
      <c r="O199" s="19"/>
      <c r="P199" s="19"/>
      <c r="Q199" s="19"/>
      <c r="R199" s="19"/>
      <c r="S199" s="19"/>
    </row>
    <row r="200" spans="1:19" ht="16.95" customHeight="1" x14ac:dyDescent="0.25">
      <c r="A200" s="52" t="s">
        <v>87</v>
      </c>
      <c r="B200" s="52" t="s">
        <v>96</v>
      </c>
      <c r="C200" s="52" t="s">
        <v>97</v>
      </c>
      <c r="D200" s="54">
        <v>0.15</v>
      </c>
      <c r="E200" s="52" t="s">
        <v>148</v>
      </c>
      <c r="F200" s="21"/>
      <c r="G200" s="7" t="s">
        <v>22</v>
      </c>
      <c r="H200" s="11"/>
      <c r="I200" s="11"/>
      <c r="J200" s="11"/>
      <c r="K200" s="11"/>
      <c r="L200" s="11"/>
      <c r="M200" s="11"/>
      <c r="N200" s="11"/>
      <c r="O200" s="11">
        <v>79</v>
      </c>
      <c r="P200" s="11">
        <v>99</v>
      </c>
      <c r="Q200" s="11">
        <v>99</v>
      </c>
      <c r="R200" s="11">
        <v>0</v>
      </c>
      <c r="S200" s="11">
        <v>99</v>
      </c>
    </row>
    <row r="201" spans="1:19" ht="16.95" customHeight="1" x14ac:dyDescent="0.25">
      <c r="A201" s="52"/>
      <c r="B201" s="52"/>
      <c r="C201" s="52"/>
      <c r="D201" s="54"/>
      <c r="E201" s="52"/>
      <c r="F201" s="11"/>
      <c r="G201" s="7" t="s">
        <v>23</v>
      </c>
      <c r="H201" s="11">
        <v>100</v>
      </c>
      <c r="I201" s="11">
        <v>80</v>
      </c>
      <c r="J201" s="11">
        <v>80</v>
      </c>
      <c r="K201" s="11">
        <v>100</v>
      </c>
      <c r="L201" s="11">
        <v>100</v>
      </c>
      <c r="M201" s="11">
        <v>100</v>
      </c>
      <c r="N201" s="11">
        <v>100</v>
      </c>
      <c r="O201" s="11">
        <v>100</v>
      </c>
      <c r="P201" s="11">
        <v>100</v>
      </c>
      <c r="Q201" s="11">
        <v>100</v>
      </c>
      <c r="R201" s="11">
        <v>100</v>
      </c>
      <c r="S201" s="11">
        <v>100</v>
      </c>
    </row>
    <row r="202" spans="1:19" ht="16.95" customHeight="1" x14ac:dyDescent="0.25">
      <c r="A202" s="52"/>
      <c r="B202" s="52"/>
      <c r="C202" s="52"/>
      <c r="D202" s="54"/>
      <c r="E202" s="52"/>
      <c r="F202" s="11"/>
      <c r="G202" s="7" t="s">
        <v>24</v>
      </c>
      <c r="H202" s="11"/>
      <c r="I202" s="11"/>
      <c r="J202" s="11"/>
      <c r="K202" s="15"/>
      <c r="L202" s="15"/>
      <c r="M202" s="15"/>
      <c r="N202" s="15"/>
      <c r="O202" s="15" t="str">
        <f t="shared" ref="O202:S202" si="88">IFERROR(O199/O198,"")</f>
        <v/>
      </c>
      <c r="P202" s="15" t="str">
        <f t="shared" si="88"/>
        <v/>
      </c>
      <c r="Q202" s="15" t="str">
        <f t="shared" si="88"/>
        <v/>
      </c>
      <c r="R202" s="15" t="str">
        <f t="shared" si="88"/>
        <v/>
      </c>
      <c r="S202" s="15" t="str">
        <f t="shared" si="88"/>
        <v/>
      </c>
    </row>
    <row r="203" spans="1:19" ht="16.95" customHeight="1" x14ac:dyDescent="0.25">
      <c r="A203" s="52"/>
      <c r="B203" s="52"/>
      <c r="C203" s="52"/>
      <c r="D203" s="54"/>
      <c r="E203" s="52"/>
      <c r="F203" s="11"/>
      <c r="G203" s="16" t="s">
        <v>134</v>
      </c>
      <c r="H203" s="22"/>
      <c r="I203" s="22"/>
      <c r="J203" s="22"/>
      <c r="K203" s="22"/>
      <c r="L203" s="44" t="s">
        <v>146</v>
      </c>
      <c r="M203" s="44" t="s">
        <v>147</v>
      </c>
      <c r="N203" s="44" t="s">
        <v>147</v>
      </c>
      <c r="O203" s="22"/>
      <c r="P203" s="22"/>
      <c r="Q203" s="22"/>
      <c r="R203" s="22"/>
      <c r="S203" s="22"/>
    </row>
    <row r="204" spans="1:19" ht="16.95" customHeight="1" x14ac:dyDescent="0.25">
      <c r="A204" s="52"/>
      <c r="B204" s="52"/>
      <c r="C204" s="52"/>
      <c r="D204" s="54"/>
      <c r="E204" s="52"/>
      <c r="F204" s="11"/>
      <c r="G204" s="18" t="s">
        <v>135</v>
      </c>
      <c r="H204" s="19" t="str">
        <f t="shared" ref="H204:J204" si="89">IFERROR(H201/H200,"")</f>
        <v/>
      </c>
      <c r="I204" s="19" t="str">
        <f t="shared" si="89"/>
        <v/>
      </c>
      <c r="J204" s="19" t="str">
        <f t="shared" si="89"/>
        <v/>
      </c>
      <c r="K204" s="19"/>
      <c r="L204" s="19">
        <v>1.3</v>
      </c>
      <c r="M204" s="19">
        <v>1.1000000000000001</v>
      </c>
      <c r="N204" s="19">
        <v>1.1000000000000001</v>
      </c>
      <c r="O204" s="19"/>
      <c r="P204" s="19"/>
      <c r="Q204" s="19"/>
      <c r="R204" s="19"/>
      <c r="S204" s="19"/>
    </row>
    <row r="205" spans="1:19" ht="16.95" customHeight="1" x14ac:dyDescent="0.25">
      <c r="A205" s="52" t="s">
        <v>87</v>
      </c>
      <c r="B205" s="52" t="s">
        <v>34</v>
      </c>
      <c r="C205" s="52" t="s">
        <v>46</v>
      </c>
      <c r="D205" s="54">
        <v>0.1</v>
      </c>
      <c r="E205" s="52" t="s">
        <v>36</v>
      </c>
      <c r="F205" s="11"/>
      <c r="G205" s="7" t="s">
        <v>22</v>
      </c>
      <c r="H205" s="15">
        <v>1.95464821441181E-2</v>
      </c>
      <c r="I205" s="15">
        <v>2.0786627057143701E-2</v>
      </c>
      <c r="J205" s="15">
        <v>1.03319262342353E-2</v>
      </c>
      <c r="K205" s="15">
        <v>1.39878284054892E-2</v>
      </c>
      <c r="L205" s="15">
        <v>1.2973831374480899E-2</v>
      </c>
      <c r="M205" s="15">
        <v>1.8148938524131301E-2</v>
      </c>
      <c r="N205" s="15">
        <v>2.2892737456330001E-2</v>
      </c>
      <c r="O205" s="15">
        <v>1.2856698663367E-2</v>
      </c>
      <c r="P205" s="15">
        <v>1.1676867876187399E-2</v>
      </c>
      <c r="Q205" s="15">
        <v>9.1233202419336301E-3</v>
      </c>
      <c r="R205" s="15">
        <v>7.8058417969911103E-3</v>
      </c>
      <c r="S205" s="15">
        <v>8.0923345158505095E-3</v>
      </c>
    </row>
    <row r="206" spans="1:19" ht="16.95" customHeight="1" x14ac:dyDescent="0.25">
      <c r="A206" s="52"/>
      <c r="B206" s="52"/>
      <c r="C206" s="52"/>
      <c r="D206" s="54"/>
      <c r="E206" s="52"/>
      <c r="F206" s="11"/>
      <c r="G206" s="7" t="s">
        <v>23</v>
      </c>
      <c r="H206" s="15">
        <v>2.0534984921397201E-2</v>
      </c>
      <c r="I206" s="15">
        <v>2.1309400628470299E-2</v>
      </c>
      <c r="J206" s="15">
        <v>9.0761495493805206E-3</v>
      </c>
      <c r="K206" s="15">
        <v>7.5744743493609797E-3</v>
      </c>
      <c r="L206" s="15">
        <v>9.3568788740188598E-3</v>
      </c>
      <c r="M206" s="15">
        <v>1.07706963817998E-2</v>
      </c>
      <c r="N206" s="15">
        <v>1.54938673377605E-2</v>
      </c>
      <c r="O206" s="15">
        <v>9.5475559236867097E-3</v>
      </c>
      <c r="P206" s="15">
        <v>6.72959698879188E-3</v>
      </c>
      <c r="Q206" s="15">
        <v>5.4719244181124296E-3</v>
      </c>
      <c r="R206" s="15">
        <v>4.8207050002177796E-3</v>
      </c>
      <c r="S206" s="15">
        <v>4.82025488051065E-3</v>
      </c>
    </row>
    <row r="207" spans="1:19" ht="16.95" customHeight="1" x14ac:dyDescent="0.25">
      <c r="A207" s="52"/>
      <c r="B207" s="52"/>
      <c r="C207" s="52"/>
      <c r="D207" s="54"/>
      <c r="E207" s="52"/>
      <c r="F207" s="11"/>
      <c r="G207" s="7" t="s">
        <v>26</v>
      </c>
      <c r="H207" s="15"/>
      <c r="I207" s="15"/>
      <c r="J207" s="15"/>
      <c r="K207" s="15">
        <f>+K206*(1-3%*10)</f>
        <v>5.3021320445526855E-3</v>
      </c>
      <c r="L207" s="15">
        <f t="shared" ref="L207:S207" si="90">+L206*(1-3%*10)</f>
        <v>6.5498152118132012E-3</v>
      </c>
      <c r="M207" s="15">
        <f t="shared" si="90"/>
        <v>7.5394874672598594E-3</v>
      </c>
      <c r="N207" s="15">
        <f t="shared" si="90"/>
        <v>1.0845707136432349E-2</v>
      </c>
      <c r="O207" s="15">
        <f t="shared" si="90"/>
        <v>6.6832891465806966E-3</v>
      </c>
      <c r="P207" s="15">
        <f t="shared" si="90"/>
        <v>4.7107178921543154E-3</v>
      </c>
      <c r="Q207" s="15">
        <f t="shared" si="90"/>
        <v>3.8303470926787007E-3</v>
      </c>
      <c r="R207" s="15">
        <f t="shared" si="90"/>
        <v>3.3744935001524456E-3</v>
      </c>
      <c r="S207" s="15">
        <f t="shared" si="90"/>
        <v>3.3741784163574548E-3</v>
      </c>
    </row>
    <row r="208" spans="1:19" ht="16.95" customHeight="1" x14ac:dyDescent="0.25">
      <c r="A208" s="52"/>
      <c r="B208" s="52"/>
      <c r="C208" s="52"/>
      <c r="D208" s="54"/>
      <c r="E208" s="52"/>
      <c r="F208" s="11"/>
      <c r="G208" s="7" t="s">
        <v>27</v>
      </c>
      <c r="H208" s="15"/>
      <c r="I208" s="15"/>
      <c r="J208" s="15"/>
      <c r="K208" s="15">
        <f>+K206*(1+3%*8)</f>
        <v>9.3923481932076149E-3</v>
      </c>
      <c r="L208" s="15">
        <f t="shared" ref="L208:S208" si="91">+L206*(1+3%*8)</f>
        <v>1.1602529803783386E-2</v>
      </c>
      <c r="M208" s="15">
        <f t="shared" si="91"/>
        <v>1.3355663513431752E-2</v>
      </c>
      <c r="N208" s="15">
        <f t="shared" si="91"/>
        <v>1.9212395498823021E-2</v>
      </c>
      <c r="O208" s="15">
        <f t="shared" si="91"/>
        <v>1.1838969345371519E-2</v>
      </c>
      <c r="P208" s="15">
        <f t="shared" si="91"/>
        <v>8.3447002661019305E-3</v>
      </c>
      <c r="Q208" s="15">
        <f t="shared" si="91"/>
        <v>6.785186278459413E-3</v>
      </c>
      <c r="R208" s="15">
        <f t="shared" si="91"/>
        <v>5.9776742002700467E-3</v>
      </c>
      <c r="S208" s="15">
        <f t="shared" si="91"/>
        <v>5.9771160518332063E-3</v>
      </c>
    </row>
    <row r="209" spans="1:19" ht="16.95" customHeight="1" x14ac:dyDescent="0.25">
      <c r="A209" s="52"/>
      <c r="B209" s="52"/>
      <c r="C209" s="52"/>
      <c r="D209" s="54"/>
      <c r="E209" s="52"/>
      <c r="F209" s="11"/>
      <c r="G209" s="7" t="s">
        <v>24</v>
      </c>
      <c r="H209" s="4">
        <f>(H206-H205)/H205</f>
        <v>5.0571901889597037E-2</v>
      </c>
      <c r="I209" s="4">
        <f t="shared" ref="I209:S209" si="92">(I206-I205)/I205</f>
        <v>2.5149514151067486E-2</v>
      </c>
      <c r="J209" s="4">
        <f t="shared" si="92"/>
        <v>-0.12154332661548693</v>
      </c>
      <c r="K209" s="4">
        <f t="shared" si="92"/>
        <v>-0.45849533395844688</v>
      </c>
      <c r="L209" s="4">
        <f t="shared" si="92"/>
        <v>-0.27878830825383366</v>
      </c>
      <c r="M209" s="4">
        <f t="shared" si="92"/>
        <v>-0.40653849438749257</v>
      </c>
      <c r="N209" s="4">
        <f t="shared" si="92"/>
        <v>-0.32319726431509233</v>
      </c>
      <c r="O209" s="4">
        <f t="shared" si="92"/>
        <v>-0.25738666094034979</v>
      </c>
      <c r="P209" s="4">
        <f t="shared" si="92"/>
        <v>-0.42368132789140089</v>
      </c>
      <c r="Q209" s="4">
        <f t="shared" si="92"/>
        <v>-0.40022664194535718</v>
      </c>
      <c r="R209" s="4">
        <f t="shared" si="92"/>
        <v>-0.38242343034981835</v>
      </c>
      <c r="S209" s="4">
        <f t="shared" si="92"/>
        <v>-0.4043431013548458</v>
      </c>
    </row>
    <row r="210" spans="1:19" ht="16.95" customHeight="1" x14ac:dyDescent="0.25">
      <c r="A210" s="52"/>
      <c r="B210" s="52"/>
      <c r="C210" s="52"/>
      <c r="D210" s="54"/>
      <c r="E210" s="52"/>
      <c r="F210" s="11"/>
      <c r="G210" s="16" t="s">
        <v>134</v>
      </c>
      <c r="H210" s="19"/>
      <c r="I210" s="19"/>
      <c r="J210" s="19"/>
      <c r="K210" s="19">
        <v>8.8362813627029298E-3</v>
      </c>
      <c r="L210" s="19">
        <v>7.14737660201651E-3</v>
      </c>
      <c r="M210" s="19">
        <v>1.05425048947758E-2</v>
      </c>
      <c r="N210" s="19"/>
      <c r="O210" s="19"/>
      <c r="P210" s="19"/>
      <c r="Q210" s="19"/>
      <c r="R210" s="19"/>
      <c r="S210" s="19"/>
    </row>
    <row r="211" spans="1:19" ht="16.95" customHeight="1" x14ac:dyDescent="0.25">
      <c r="A211" s="52"/>
      <c r="B211" s="52"/>
      <c r="C211" s="52"/>
      <c r="D211" s="54"/>
      <c r="E211" s="52"/>
      <c r="F211" s="11"/>
      <c r="G211" s="18" t="s">
        <v>135</v>
      </c>
      <c r="H211" s="19"/>
      <c r="I211" s="19"/>
      <c r="J211" s="19"/>
      <c r="K211" s="19">
        <f>IFERROR(2-K210/K206,"")</f>
        <v>0.83341325679604394</v>
      </c>
      <c r="L211" s="19">
        <f>IFERROR(2-L210/L206,"")</f>
        <v>1.2361366756747754</v>
      </c>
      <c r="M211" s="19">
        <f>IFERROR(2-M210/M206,"")</f>
        <v>1.0211863262072445</v>
      </c>
      <c r="N211" s="19"/>
      <c r="O211" s="19"/>
      <c r="P211" s="19"/>
      <c r="Q211" s="19"/>
      <c r="R211" s="19"/>
      <c r="S211" s="19"/>
    </row>
    <row r="212" spans="1:19" ht="16.95" customHeight="1" x14ac:dyDescent="0.25">
      <c r="A212" s="52" t="s">
        <v>98</v>
      </c>
      <c r="B212" s="52" t="s">
        <v>99</v>
      </c>
      <c r="C212" s="52" t="s">
        <v>100</v>
      </c>
      <c r="D212" s="54">
        <v>0.35</v>
      </c>
      <c r="E212" s="52" t="s">
        <v>101</v>
      </c>
      <c r="F212" s="21"/>
      <c r="G212" s="7" t="s">
        <v>22</v>
      </c>
      <c r="H212" s="11" t="s">
        <v>2</v>
      </c>
      <c r="I212" s="11" t="s">
        <v>2</v>
      </c>
      <c r="J212" s="33">
        <v>6.7500000000000004E-2</v>
      </c>
      <c r="K212" s="33">
        <v>5.96E-2</v>
      </c>
      <c r="L212" s="33">
        <v>6.5600000000000006E-2</v>
      </c>
      <c r="M212" s="33">
        <v>6.4699999999999994E-2</v>
      </c>
      <c r="N212" s="33">
        <v>8.7800000000000003E-2</v>
      </c>
      <c r="O212" s="33">
        <v>8.5000000000000006E-2</v>
      </c>
      <c r="P212" s="33">
        <v>0.1096</v>
      </c>
      <c r="Q212" s="33">
        <v>8.7999999999999995E-2</v>
      </c>
      <c r="R212" s="33">
        <v>0.1119</v>
      </c>
      <c r="S212" s="33">
        <v>0.11210000000000001</v>
      </c>
    </row>
    <row r="213" spans="1:19" ht="16.95" customHeight="1" x14ac:dyDescent="0.25">
      <c r="A213" s="52"/>
      <c r="B213" s="52"/>
      <c r="C213" s="52"/>
      <c r="D213" s="54"/>
      <c r="E213" s="52"/>
      <c r="F213" s="11"/>
      <c r="G213" s="7" t="s">
        <v>23</v>
      </c>
      <c r="H213" s="11" t="s">
        <v>2</v>
      </c>
      <c r="I213" s="11" t="s">
        <v>2</v>
      </c>
      <c r="J213" s="33">
        <v>0.05</v>
      </c>
      <c r="K213" s="33">
        <v>4.4999999999999998E-2</v>
      </c>
      <c r="L213" s="33">
        <v>0.05</v>
      </c>
      <c r="M213" s="33">
        <v>4.8000000000000001E-2</v>
      </c>
      <c r="N213" s="33">
        <v>0.06</v>
      </c>
      <c r="O213" s="33">
        <v>0.06</v>
      </c>
      <c r="P213" s="33">
        <v>8.4000000000000005E-2</v>
      </c>
      <c r="Q213" s="33">
        <v>0.06</v>
      </c>
      <c r="R213" s="33">
        <v>0.08</v>
      </c>
      <c r="S213" s="33">
        <v>0.08</v>
      </c>
    </row>
    <row r="214" spans="1:19" ht="16.95" customHeight="1" x14ac:dyDescent="0.25">
      <c r="A214" s="52"/>
      <c r="B214" s="52"/>
      <c r="C214" s="52"/>
      <c r="D214" s="54"/>
      <c r="E214" s="52"/>
      <c r="F214" s="11"/>
      <c r="G214" s="7" t="s">
        <v>26</v>
      </c>
      <c r="H214" s="11"/>
      <c r="I214" s="11"/>
      <c r="J214" s="33">
        <f t="shared" ref="J214:S214" si="93">+J213-0.2%*10</f>
        <v>3.0000000000000002E-2</v>
      </c>
      <c r="K214" s="33">
        <f t="shared" si="93"/>
        <v>2.4999999999999998E-2</v>
      </c>
      <c r="L214" s="33">
        <f t="shared" si="93"/>
        <v>3.0000000000000002E-2</v>
      </c>
      <c r="M214" s="33">
        <f t="shared" si="93"/>
        <v>2.8000000000000001E-2</v>
      </c>
      <c r="N214" s="33">
        <f t="shared" si="93"/>
        <v>3.9999999999999994E-2</v>
      </c>
      <c r="O214" s="33">
        <f t="shared" si="93"/>
        <v>3.9999999999999994E-2</v>
      </c>
      <c r="P214" s="33">
        <f t="shared" si="93"/>
        <v>6.4000000000000001E-2</v>
      </c>
      <c r="Q214" s="33">
        <f t="shared" si="93"/>
        <v>3.9999999999999994E-2</v>
      </c>
      <c r="R214" s="33">
        <f t="shared" si="93"/>
        <v>0.06</v>
      </c>
      <c r="S214" s="33">
        <f t="shared" si="93"/>
        <v>0.06</v>
      </c>
    </row>
    <row r="215" spans="1:19" ht="16.95" customHeight="1" x14ac:dyDescent="0.25">
      <c r="A215" s="52"/>
      <c r="B215" s="52"/>
      <c r="C215" s="52"/>
      <c r="D215" s="54"/>
      <c r="E215" s="52"/>
      <c r="F215" s="11"/>
      <c r="G215" s="7" t="s">
        <v>27</v>
      </c>
      <c r="H215" s="11"/>
      <c r="I215" s="11"/>
      <c r="J215" s="33">
        <f t="shared" ref="J215:S215" si="94">+J213+0.2%*8</f>
        <v>6.6000000000000003E-2</v>
      </c>
      <c r="K215" s="33">
        <f t="shared" si="94"/>
        <v>6.0999999999999999E-2</v>
      </c>
      <c r="L215" s="33">
        <f t="shared" si="94"/>
        <v>6.6000000000000003E-2</v>
      </c>
      <c r="M215" s="33">
        <f t="shared" si="94"/>
        <v>6.4000000000000001E-2</v>
      </c>
      <c r="N215" s="33">
        <f t="shared" si="94"/>
        <v>7.5999999999999998E-2</v>
      </c>
      <c r="O215" s="33">
        <f t="shared" si="94"/>
        <v>7.5999999999999998E-2</v>
      </c>
      <c r="P215" s="33">
        <f t="shared" si="94"/>
        <v>0.1</v>
      </c>
      <c r="Q215" s="33">
        <f t="shared" si="94"/>
        <v>7.5999999999999998E-2</v>
      </c>
      <c r="R215" s="33">
        <f t="shared" si="94"/>
        <v>9.6000000000000002E-2</v>
      </c>
      <c r="S215" s="33">
        <f t="shared" si="94"/>
        <v>9.6000000000000002E-2</v>
      </c>
    </row>
    <row r="216" spans="1:19" ht="16.95" customHeight="1" x14ac:dyDescent="0.25">
      <c r="A216" s="52"/>
      <c r="B216" s="52"/>
      <c r="C216" s="52"/>
      <c r="D216" s="54"/>
      <c r="E216" s="52"/>
      <c r="F216" s="11"/>
      <c r="G216" s="7" t="s">
        <v>24</v>
      </c>
      <c r="H216" s="15" t="str">
        <f t="shared" ref="H216:I216" si="95">IFERROR(H213/H212,"")</f>
        <v/>
      </c>
      <c r="I216" s="15" t="str">
        <f t="shared" si="95"/>
        <v/>
      </c>
      <c r="J216" s="4">
        <f>(J213-J212)/J212</f>
        <v>-0.25925925925925924</v>
      </c>
      <c r="K216" s="4">
        <f>(K213-K212)/K212</f>
        <v>-0.24496644295302017</v>
      </c>
      <c r="L216" s="4">
        <f t="shared" ref="L216:S216" si="96">(L213-L212)/L212</f>
        <v>-0.2378048780487805</v>
      </c>
      <c r="M216" s="4">
        <f t="shared" si="96"/>
        <v>-0.258114374034003</v>
      </c>
      <c r="N216" s="4">
        <f t="shared" si="96"/>
        <v>-0.3166287015945331</v>
      </c>
      <c r="O216" s="4">
        <f t="shared" si="96"/>
        <v>-0.29411764705882359</v>
      </c>
      <c r="P216" s="4">
        <f t="shared" si="96"/>
        <v>-0.23357664233576639</v>
      </c>
      <c r="Q216" s="4">
        <f t="shared" si="96"/>
        <v>-0.31818181818181818</v>
      </c>
      <c r="R216" s="4">
        <f t="shared" si="96"/>
        <v>-0.28507596067917784</v>
      </c>
      <c r="S216" s="4">
        <f t="shared" si="96"/>
        <v>-0.28635147190008925</v>
      </c>
    </row>
    <row r="217" spans="1:19" ht="16.95" customHeight="1" x14ac:dyDescent="0.25">
      <c r="A217" s="52"/>
      <c r="B217" s="52"/>
      <c r="C217" s="52"/>
      <c r="D217" s="54"/>
      <c r="E217" s="52"/>
      <c r="F217" s="11"/>
      <c r="G217" s="16" t="s">
        <v>134</v>
      </c>
      <c r="H217" s="22"/>
      <c r="I217" s="22"/>
      <c r="J217" s="37"/>
      <c r="K217" s="37">
        <v>4.5699999999999998E-2</v>
      </c>
      <c r="L217" s="37">
        <v>4.2000000000000003E-2</v>
      </c>
      <c r="M217" s="37">
        <v>4.8099999999999997E-2</v>
      </c>
      <c r="N217" s="37">
        <v>4.8000000000000001E-2</v>
      </c>
      <c r="O217" s="37"/>
      <c r="P217" s="37"/>
      <c r="Q217" s="37"/>
      <c r="R217" s="37"/>
      <c r="S217" s="37"/>
    </row>
    <row r="218" spans="1:19" ht="16.95" customHeight="1" x14ac:dyDescent="0.25">
      <c r="A218" s="52"/>
      <c r="B218" s="52"/>
      <c r="C218" s="52"/>
      <c r="D218" s="54"/>
      <c r="E218" s="52"/>
      <c r="F218" s="11"/>
      <c r="G218" s="18" t="s">
        <v>135</v>
      </c>
      <c r="H218" s="22"/>
      <c r="I218" s="22"/>
      <c r="J218" s="22"/>
      <c r="K218" s="19">
        <f>IFERROR(K217/K213,"")</f>
        <v>1.0155555555555555</v>
      </c>
      <c r="L218" s="19">
        <f>IFERROR(L217/L213,"")</f>
        <v>0.84</v>
      </c>
      <c r="M218" s="19">
        <f>IFERROR(M217/M213,"")</f>
        <v>1.0020833333333332</v>
      </c>
      <c r="N218" s="19">
        <f>IFERROR(N217/N213,"")</f>
        <v>0.8</v>
      </c>
      <c r="O218" s="22"/>
      <c r="P218" s="22"/>
      <c r="Q218" s="22"/>
      <c r="R218" s="22"/>
      <c r="S218" s="22"/>
    </row>
    <row r="219" spans="1:19" ht="16.95" customHeight="1" x14ac:dyDescent="0.25">
      <c r="A219" s="52" t="s">
        <v>98</v>
      </c>
      <c r="B219" s="52" t="s">
        <v>102</v>
      </c>
      <c r="C219" s="52" t="s">
        <v>103</v>
      </c>
      <c r="D219" s="54">
        <v>0.3</v>
      </c>
      <c r="E219" s="52" t="s">
        <v>104</v>
      </c>
      <c r="F219" s="21"/>
      <c r="G219" s="7" t="s">
        <v>22</v>
      </c>
      <c r="H219" s="11" t="s">
        <v>2</v>
      </c>
      <c r="I219" s="11" t="s">
        <v>2</v>
      </c>
      <c r="J219" s="33">
        <v>0.99539999999999995</v>
      </c>
      <c r="K219" s="33">
        <v>0.98509999999999998</v>
      </c>
      <c r="L219" s="33">
        <v>0.97050000000000003</v>
      </c>
      <c r="M219" s="33">
        <v>0.95299999999999996</v>
      </c>
      <c r="N219" s="33">
        <v>0.98350000000000004</v>
      </c>
      <c r="O219" s="33">
        <v>0.97940000000000005</v>
      </c>
      <c r="P219" s="33">
        <v>0.97799999999999998</v>
      </c>
      <c r="Q219" s="33">
        <v>0.98380000000000001</v>
      </c>
      <c r="R219" s="33">
        <v>0.93369999999999997</v>
      </c>
      <c r="S219" s="33">
        <v>0.94679999999999997</v>
      </c>
    </row>
    <row r="220" spans="1:19" ht="16.95" customHeight="1" x14ac:dyDescent="0.25">
      <c r="A220" s="52"/>
      <c r="B220" s="52"/>
      <c r="C220" s="52"/>
      <c r="D220" s="54"/>
      <c r="E220" s="52"/>
      <c r="F220" s="11"/>
      <c r="G220" s="7" t="s">
        <v>23</v>
      </c>
      <c r="H220" s="11" t="s">
        <v>2</v>
      </c>
      <c r="I220" s="11" t="s">
        <v>2</v>
      </c>
      <c r="J220" s="33">
        <v>0.97</v>
      </c>
      <c r="K220" s="33">
        <v>0.95499999999999996</v>
      </c>
      <c r="L220" s="33">
        <v>0.98</v>
      </c>
      <c r="M220" s="33">
        <v>0.98</v>
      </c>
      <c r="N220" s="33">
        <v>0.99</v>
      </c>
      <c r="O220" s="33">
        <v>0.99</v>
      </c>
      <c r="P220" s="33">
        <v>0.98499999999999999</v>
      </c>
      <c r="Q220" s="33">
        <v>0.98499999999999999</v>
      </c>
      <c r="R220" s="33">
        <v>0.98499999999999999</v>
      </c>
      <c r="S220" s="33">
        <v>0.98499999999999999</v>
      </c>
    </row>
    <row r="221" spans="1:19" ht="16.95" customHeight="1" x14ac:dyDescent="0.25">
      <c r="A221" s="52"/>
      <c r="B221" s="52"/>
      <c r="C221" s="52"/>
      <c r="D221" s="54"/>
      <c r="E221" s="52"/>
      <c r="F221" s="11"/>
      <c r="G221" s="7" t="s">
        <v>26</v>
      </c>
      <c r="H221" s="11"/>
      <c r="I221" s="11"/>
      <c r="J221" s="33">
        <f t="shared" ref="J221:S221" si="97">+J220+1%</f>
        <v>0.98</v>
      </c>
      <c r="K221" s="33">
        <f t="shared" si="97"/>
        <v>0.96499999999999997</v>
      </c>
      <c r="L221" s="33">
        <f t="shared" si="97"/>
        <v>0.99</v>
      </c>
      <c r="M221" s="33">
        <f t="shared" si="97"/>
        <v>0.99</v>
      </c>
      <c r="N221" s="33">
        <f t="shared" si="97"/>
        <v>1</v>
      </c>
      <c r="O221" s="33">
        <f t="shared" si="97"/>
        <v>1</v>
      </c>
      <c r="P221" s="33">
        <f t="shared" si="97"/>
        <v>0.995</v>
      </c>
      <c r="Q221" s="33">
        <f t="shared" si="97"/>
        <v>0.995</v>
      </c>
      <c r="R221" s="33">
        <f t="shared" si="97"/>
        <v>0.995</v>
      </c>
      <c r="S221" s="33">
        <f t="shared" si="97"/>
        <v>0.995</v>
      </c>
    </row>
    <row r="222" spans="1:19" ht="16.95" customHeight="1" x14ac:dyDescent="0.25">
      <c r="A222" s="52"/>
      <c r="B222" s="52"/>
      <c r="C222" s="52"/>
      <c r="D222" s="54"/>
      <c r="E222" s="52"/>
      <c r="F222" s="11"/>
      <c r="G222" s="7" t="s">
        <v>27</v>
      </c>
      <c r="H222" s="11"/>
      <c r="I222" s="11"/>
      <c r="J222" s="33">
        <f t="shared" ref="J222:S222" si="98">+J220-0.8%</f>
        <v>0.96199999999999997</v>
      </c>
      <c r="K222" s="33">
        <f t="shared" si="98"/>
        <v>0.94699999999999995</v>
      </c>
      <c r="L222" s="33">
        <f t="shared" si="98"/>
        <v>0.97199999999999998</v>
      </c>
      <c r="M222" s="33">
        <f t="shared" si="98"/>
        <v>0.97199999999999998</v>
      </c>
      <c r="N222" s="33">
        <f t="shared" si="98"/>
        <v>0.98199999999999998</v>
      </c>
      <c r="O222" s="33">
        <f t="shared" si="98"/>
        <v>0.98199999999999998</v>
      </c>
      <c r="P222" s="33">
        <f t="shared" si="98"/>
        <v>0.97699999999999998</v>
      </c>
      <c r="Q222" s="33">
        <f t="shared" si="98"/>
        <v>0.97699999999999998</v>
      </c>
      <c r="R222" s="33">
        <f t="shared" si="98"/>
        <v>0.97699999999999998</v>
      </c>
      <c r="S222" s="33">
        <f t="shared" si="98"/>
        <v>0.97699999999999998</v>
      </c>
    </row>
    <row r="223" spans="1:19" ht="16.95" customHeight="1" x14ac:dyDescent="0.25">
      <c r="A223" s="52"/>
      <c r="B223" s="52"/>
      <c r="C223" s="52"/>
      <c r="D223" s="54"/>
      <c r="E223" s="52"/>
      <c r="F223" s="11"/>
      <c r="G223" s="7" t="s">
        <v>24</v>
      </c>
      <c r="H223" s="15" t="str">
        <f t="shared" ref="H223:I223" si="99">IFERROR(H220/H219,"")</f>
        <v/>
      </c>
      <c r="I223" s="15" t="str">
        <f t="shared" si="99"/>
        <v/>
      </c>
      <c r="J223" s="4">
        <f>(J220-J219)/J219</f>
        <v>-2.5517379947759673E-2</v>
      </c>
      <c r="K223" s="4">
        <f t="shared" ref="K223:S223" si="100">(K220-K219)/K219</f>
        <v>-3.0555273576286689E-2</v>
      </c>
      <c r="L223" s="4">
        <f t="shared" si="100"/>
        <v>9.788768675940189E-3</v>
      </c>
      <c r="M223" s="4">
        <f t="shared" si="100"/>
        <v>2.8331584470094463E-2</v>
      </c>
      <c r="N223" s="4">
        <f t="shared" si="100"/>
        <v>6.6090493136755973E-3</v>
      </c>
      <c r="O223" s="4">
        <f t="shared" si="100"/>
        <v>1.0822952828262143E-2</v>
      </c>
      <c r="P223" s="4">
        <f t="shared" si="100"/>
        <v>7.1574642126789427E-3</v>
      </c>
      <c r="Q223" s="4">
        <f t="shared" si="100"/>
        <v>1.2197601138442557E-3</v>
      </c>
      <c r="R223" s="4">
        <f t="shared" si="100"/>
        <v>5.4942701081717914E-2</v>
      </c>
      <c r="S223" s="4">
        <f t="shared" si="100"/>
        <v>4.0346430080270397E-2</v>
      </c>
    </row>
    <row r="224" spans="1:19" ht="16.95" customHeight="1" x14ac:dyDescent="0.25">
      <c r="A224" s="52"/>
      <c r="B224" s="52"/>
      <c r="C224" s="52"/>
      <c r="D224" s="54"/>
      <c r="E224" s="52"/>
      <c r="F224" s="11"/>
      <c r="G224" s="16" t="s">
        <v>134</v>
      </c>
      <c r="H224" s="22"/>
      <c r="I224" s="22"/>
      <c r="J224" s="37"/>
      <c r="K224" s="37">
        <v>0.95299999999999996</v>
      </c>
      <c r="L224" s="37">
        <v>0.98309999999999997</v>
      </c>
      <c r="M224" s="37">
        <v>0.99050000000000005</v>
      </c>
      <c r="N224" s="37">
        <v>0.99770000000000003</v>
      </c>
      <c r="O224" s="37"/>
      <c r="P224" s="37"/>
      <c r="Q224" s="37"/>
      <c r="R224" s="37"/>
      <c r="S224" s="37"/>
    </row>
    <row r="225" spans="1:19" ht="16.95" customHeight="1" x14ac:dyDescent="0.25">
      <c r="A225" s="52"/>
      <c r="B225" s="52"/>
      <c r="C225" s="52"/>
      <c r="D225" s="54"/>
      <c r="E225" s="52"/>
      <c r="F225" s="11"/>
      <c r="G225" s="18" t="s">
        <v>135</v>
      </c>
      <c r="H225" s="22"/>
      <c r="I225" s="22"/>
      <c r="J225" s="22"/>
      <c r="K225" s="19">
        <f>IFERROR(K224/K220,"")</f>
        <v>0.99790575916230362</v>
      </c>
      <c r="L225" s="19">
        <f>IFERROR(L224/L220,"")</f>
        <v>1.0031632653061224</v>
      </c>
      <c r="M225" s="19">
        <f>IFERROR(M224/M220,"")</f>
        <v>1.0107142857142857</v>
      </c>
      <c r="N225" s="19">
        <f>IFERROR(N224/N220,"")</f>
        <v>1.0077777777777779</v>
      </c>
      <c r="O225" s="22"/>
      <c r="P225" s="22"/>
      <c r="Q225" s="22"/>
      <c r="R225" s="22"/>
      <c r="S225" s="22"/>
    </row>
    <row r="226" spans="1:19" ht="16.95" customHeight="1" x14ac:dyDescent="0.25">
      <c r="A226" s="52" t="s">
        <v>98</v>
      </c>
      <c r="B226" s="52" t="s">
        <v>105</v>
      </c>
      <c r="C226" s="52" t="s">
        <v>106</v>
      </c>
      <c r="D226" s="54">
        <v>0.15</v>
      </c>
      <c r="E226" s="52" t="s">
        <v>107</v>
      </c>
      <c r="F226" s="21"/>
      <c r="G226" s="7" t="s">
        <v>22</v>
      </c>
      <c r="H226" s="11" t="s">
        <v>2</v>
      </c>
      <c r="I226" s="11" t="s">
        <v>2</v>
      </c>
      <c r="J226" s="33">
        <v>0.94789999999999996</v>
      </c>
      <c r="K226" s="33">
        <v>0.92300000000000004</v>
      </c>
      <c r="L226" s="33">
        <v>0.95340000000000003</v>
      </c>
      <c r="M226" s="33">
        <v>0.95369999999999999</v>
      </c>
      <c r="N226" s="33">
        <v>0.95950000000000002</v>
      </c>
      <c r="O226" s="33">
        <v>0.96660000000000001</v>
      </c>
      <c r="P226" s="33">
        <v>0.96109999999999995</v>
      </c>
      <c r="Q226" s="33">
        <v>0.96899999999999997</v>
      </c>
      <c r="R226" s="33">
        <v>0.96519999999999995</v>
      </c>
      <c r="S226" s="33">
        <v>0.96989999999999998</v>
      </c>
    </row>
    <row r="227" spans="1:19" ht="16.95" customHeight="1" x14ac:dyDescent="0.25">
      <c r="A227" s="52"/>
      <c r="B227" s="52"/>
      <c r="C227" s="52"/>
      <c r="D227" s="54"/>
      <c r="E227" s="52"/>
      <c r="F227" s="11"/>
      <c r="G227" s="7" t="s">
        <v>23</v>
      </c>
      <c r="H227" s="11" t="s">
        <v>2</v>
      </c>
      <c r="I227" s="11" t="s">
        <v>2</v>
      </c>
      <c r="J227" s="33">
        <v>0.96</v>
      </c>
      <c r="K227" s="33">
        <v>0.96499999999999997</v>
      </c>
      <c r="L227" s="33">
        <v>0.96499999999999997</v>
      </c>
      <c r="M227" s="33">
        <v>0.96499999999999997</v>
      </c>
      <c r="N227" s="33">
        <v>0.96499999999999997</v>
      </c>
      <c r="O227" s="33">
        <v>0.97499999999999998</v>
      </c>
      <c r="P227" s="33">
        <v>0.97499999999999998</v>
      </c>
      <c r="Q227" s="33">
        <v>0.97699999999999998</v>
      </c>
      <c r="R227" s="33">
        <v>0.97699999999999998</v>
      </c>
      <c r="S227" s="33">
        <v>0.97699999999999998</v>
      </c>
    </row>
    <row r="228" spans="1:19" ht="16.95" customHeight="1" x14ac:dyDescent="0.25">
      <c r="A228" s="52"/>
      <c r="B228" s="52"/>
      <c r="C228" s="52"/>
      <c r="D228" s="54"/>
      <c r="E228" s="52"/>
      <c r="F228" s="11"/>
      <c r="G228" s="7" t="s">
        <v>26</v>
      </c>
      <c r="H228" s="11"/>
      <c r="I228" s="11"/>
      <c r="J228" s="33">
        <f t="shared" ref="J228:S228" si="101">+J227+1.5%</f>
        <v>0.97499999999999998</v>
      </c>
      <c r="K228" s="33">
        <f t="shared" si="101"/>
        <v>0.98</v>
      </c>
      <c r="L228" s="33">
        <f t="shared" si="101"/>
        <v>0.98</v>
      </c>
      <c r="M228" s="33">
        <f t="shared" si="101"/>
        <v>0.98</v>
      </c>
      <c r="N228" s="33">
        <f t="shared" si="101"/>
        <v>0.98</v>
      </c>
      <c r="O228" s="33">
        <f t="shared" si="101"/>
        <v>0.99</v>
      </c>
      <c r="P228" s="33">
        <f t="shared" si="101"/>
        <v>0.99</v>
      </c>
      <c r="Q228" s="33">
        <f t="shared" si="101"/>
        <v>0.99199999999999999</v>
      </c>
      <c r="R228" s="33">
        <f t="shared" si="101"/>
        <v>0.99199999999999999</v>
      </c>
      <c r="S228" s="33">
        <f t="shared" si="101"/>
        <v>0.99199999999999999</v>
      </c>
    </row>
    <row r="229" spans="1:19" ht="16.95" customHeight="1" x14ac:dyDescent="0.25">
      <c r="A229" s="52"/>
      <c r="B229" s="52"/>
      <c r="C229" s="52"/>
      <c r="D229" s="54"/>
      <c r="E229" s="52"/>
      <c r="F229" s="11"/>
      <c r="G229" s="7" t="s">
        <v>27</v>
      </c>
      <c r="H229" s="11"/>
      <c r="I229" s="11"/>
      <c r="J229" s="33">
        <f t="shared" ref="J229:S229" si="102">+J227-1.5%</f>
        <v>0.94499999999999995</v>
      </c>
      <c r="K229" s="33">
        <f t="shared" si="102"/>
        <v>0.95</v>
      </c>
      <c r="L229" s="33">
        <f t="shared" si="102"/>
        <v>0.95</v>
      </c>
      <c r="M229" s="33">
        <f t="shared" si="102"/>
        <v>0.95</v>
      </c>
      <c r="N229" s="33">
        <f t="shared" si="102"/>
        <v>0.95</v>
      </c>
      <c r="O229" s="33">
        <f t="shared" si="102"/>
        <v>0.96</v>
      </c>
      <c r="P229" s="33">
        <f t="shared" si="102"/>
        <v>0.96</v>
      </c>
      <c r="Q229" s="33">
        <f t="shared" si="102"/>
        <v>0.96199999999999997</v>
      </c>
      <c r="R229" s="33">
        <f t="shared" si="102"/>
        <v>0.96199999999999997</v>
      </c>
      <c r="S229" s="33">
        <f t="shared" si="102"/>
        <v>0.96199999999999997</v>
      </c>
    </row>
    <row r="230" spans="1:19" ht="16.95" customHeight="1" x14ac:dyDescent="0.25">
      <c r="A230" s="52"/>
      <c r="B230" s="52"/>
      <c r="C230" s="52"/>
      <c r="D230" s="54"/>
      <c r="E230" s="52"/>
      <c r="F230" s="11"/>
      <c r="G230" s="7" t="s">
        <v>24</v>
      </c>
      <c r="H230" s="15" t="str">
        <f t="shared" ref="H230:I230" si="103">IFERROR(H227/H226,"")</f>
        <v/>
      </c>
      <c r="I230" s="15" t="str">
        <f t="shared" si="103"/>
        <v/>
      </c>
      <c r="J230" s="4">
        <f>(J227-J226)/J226</f>
        <v>1.2765059605443612E-2</v>
      </c>
      <c r="K230" s="4">
        <f>(K227-K226)/K226</f>
        <v>4.5503791982665139E-2</v>
      </c>
      <c r="L230" s="4">
        <f t="shared" ref="L230:S230" si="104">(L227-L226)/L226</f>
        <v>1.2166981329976866E-2</v>
      </c>
      <c r="M230" s="4">
        <f t="shared" si="104"/>
        <v>1.184858970326096E-2</v>
      </c>
      <c r="N230" s="4">
        <f t="shared" si="104"/>
        <v>5.7321521625846262E-3</v>
      </c>
      <c r="O230" s="4">
        <f t="shared" si="104"/>
        <v>8.6902545003103276E-3</v>
      </c>
      <c r="P230" s="4">
        <f t="shared" si="104"/>
        <v>1.4462594943294167E-2</v>
      </c>
      <c r="Q230" s="4">
        <f t="shared" si="104"/>
        <v>8.2559339525283878E-3</v>
      </c>
      <c r="R230" s="4">
        <f t="shared" si="104"/>
        <v>1.2225445503522621E-2</v>
      </c>
      <c r="S230" s="4">
        <f t="shared" si="104"/>
        <v>7.3203423033302356E-3</v>
      </c>
    </row>
    <row r="231" spans="1:19" ht="16.95" customHeight="1" x14ac:dyDescent="0.25">
      <c r="A231" s="52"/>
      <c r="B231" s="52"/>
      <c r="C231" s="52"/>
      <c r="D231" s="54"/>
      <c r="E231" s="52"/>
      <c r="F231" s="11"/>
      <c r="G231" s="16" t="s">
        <v>134</v>
      </c>
      <c r="H231" s="22"/>
      <c r="I231" s="22"/>
      <c r="J231" s="37"/>
      <c r="K231" s="37">
        <v>0.95809999999999995</v>
      </c>
      <c r="L231" s="37">
        <v>0.96160000000000001</v>
      </c>
      <c r="M231" s="37">
        <v>0.9698</v>
      </c>
      <c r="N231" s="37">
        <v>0.97219999999999995</v>
      </c>
      <c r="O231" s="37"/>
      <c r="P231" s="37"/>
      <c r="Q231" s="37"/>
      <c r="R231" s="37"/>
      <c r="S231" s="37"/>
    </row>
    <row r="232" spans="1:19" ht="16.95" customHeight="1" x14ac:dyDescent="0.25">
      <c r="A232" s="52"/>
      <c r="B232" s="52"/>
      <c r="C232" s="52"/>
      <c r="D232" s="54"/>
      <c r="E232" s="52"/>
      <c r="F232" s="11"/>
      <c r="G232" s="18" t="s">
        <v>135</v>
      </c>
      <c r="H232" s="22"/>
      <c r="I232" s="22"/>
      <c r="J232" s="22"/>
      <c r="K232" s="19">
        <f>IFERROR(K231/K227,"")</f>
        <v>0.99284974093264244</v>
      </c>
      <c r="L232" s="19">
        <f>IFERROR(L231/L227,"")</f>
        <v>0.99647668393782385</v>
      </c>
      <c r="M232" s="19">
        <f>IFERROR(M231/M227,"")</f>
        <v>1.0049740932642488</v>
      </c>
      <c r="N232" s="19">
        <f>IFERROR(N231/N227,"")</f>
        <v>1.0074611398963731</v>
      </c>
      <c r="O232" s="22"/>
      <c r="P232" s="22"/>
      <c r="Q232" s="22"/>
      <c r="R232" s="22"/>
      <c r="S232" s="22"/>
    </row>
    <row r="233" spans="1:19" ht="16.95" customHeight="1" x14ac:dyDescent="0.25">
      <c r="A233" s="52" t="s">
        <v>98</v>
      </c>
      <c r="B233" s="52" t="s">
        <v>34</v>
      </c>
      <c r="C233" s="52" t="s">
        <v>81</v>
      </c>
      <c r="D233" s="54">
        <v>0.2</v>
      </c>
      <c r="E233" s="52" t="s">
        <v>36</v>
      </c>
      <c r="F233" s="21"/>
      <c r="G233" s="7" t="s">
        <v>22</v>
      </c>
      <c r="H233" s="15">
        <v>1.5145955337326E-2</v>
      </c>
      <c r="I233" s="15">
        <v>1.1073300411302601E-2</v>
      </c>
      <c r="J233" s="33">
        <v>7.7152456979472997E-3</v>
      </c>
      <c r="K233" s="33">
        <v>9.9954794682118892E-3</v>
      </c>
      <c r="L233" s="33">
        <v>1.1832372063357299E-2</v>
      </c>
      <c r="M233" s="33">
        <v>1.6412677172490099E-2</v>
      </c>
      <c r="N233" s="33">
        <v>2.5168971795030699E-2</v>
      </c>
      <c r="O233" s="33">
        <v>1.4546283284100601E-2</v>
      </c>
      <c r="P233" s="33">
        <v>9.8773326322109806E-3</v>
      </c>
      <c r="Q233" s="33">
        <v>8.6694821064870198E-3</v>
      </c>
      <c r="R233" s="33">
        <v>8.3746018530294099E-3</v>
      </c>
      <c r="S233" s="33">
        <v>1.18045682109378E-2</v>
      </c>
    </row>
    <row r="234" spans="1:19" ht="16.95" customHeight="1" x14ac:dyDescent="0.25">
      <c r="A234" s="52"/>
      <c r="B234" s="52"/>
      <c r="C234" s="52"/>
      <c r="D234" s="54"/>
      <c r="E234" s="52"/>
      <c r="F234" s="11"/>
      <c r="G234" s="7" t="s">
        <v>23</v>
      </c>
      <c r="H234" s="15">
        <v>2.4299370650959801E-2</v>
      </c>
      <c r="I234" s="15">
        <v>1.4232314522379001E-2</v>
      </c>
      <c r="J234" s="33">
        <v>8.2174763756677396E-3</v>
      </c>
      <c r="K234" s="33">
        <v>1.03166633589189E-2</v>
      </c>
      <c r="L234" s="33">
        <v>1.05901600278261E-2</v>
      </c>
      <c r="M234" s="33">
        <v>1.17996941466535E-2</v>
      </c>
      <c r="N234" s="33">
        <v>1.4704115502280599E-2</v>
      </c>
      <c r="O234" s="33">
        <v>1.0526506750333E-2</v>
      </c>
      <c r="P234" s="33">
        <v>9.2222828745276292E-3</v>
      </c>
      <c r="Q234" s="33">
        <v>8.9093100999545795E-3</v>
      </c>
      <c r="R234" s="33">
        <v>8.6205345434446495E-3</v>
      </c>
      <c r="S234" s="33">
        <v>9.0590717164026197E-3</v>
      </c>
    </row>
    <row r="235" spans="1:19" ht="16.95" customHeight="1" x14ac:dyDescent="0.25">
      <c r="A235" s="52"/>
      <c r="B235" s="52"/>
      <c r="C235" s="52"/>
      <c r="D235" s="54"/>
      <c r="E235" s="52"/>
      <c r="F235" s="11"/>
      <c r="G235" s="7" t="s">
        <v>26</v>
      </c>
      <c r="H235" s="15"/>
      <c r="I235" s="15"/>
      <c r="J235" s="33"/>
      <c r="K235" s="15">
        <f>+K234*(1-3%*10)</f>
        <v>7.2216643512432298E-3</v>
      </c>
      <c r="L235" s="15">
        <f t="shared" ref="L235:S235" si="105">+L234*(1-3%*10)</f>
        <v>7.41311201947827E-3</v>
      </c>
      <c r="M235" s="15">
        <f t="shared" si="105"/>
        <v>8.2597859026574492E-3</v>
      </c>
      <c r="N235" s="15">
        <f t="shared" si="105"/>
        <v>1.0292880851596419E-2</v>
      </c>
      <c r="O235" s="15">
        <f t="shared" si="105"/>
        <v>7.3685547252330995E-3</v>
      </c>
      <c r="P235" s="15">
        <f t="shared" si="105"/>
        <v>6.4555980121693401E-3</v>
      </c>
      <c r="Q235" s="15">
        <f t="shared" si="105"/>
        <v>6.2365170699682053E-3</v>
      </c>
      <c r="R235" s="15">
        <f t="shared" si="105"/>
        <v>6.034374180411254E-3</v>
      </c>
      <c r="S235" s="15">
        <f t="shared" si="105"/>
        <v>6.3413502014818338E-3</v>
      </c>
    </row>
    <row r="236" spans="1:19" ht="16.95" customHeight="1" x14ac:dyDescent="0.25">
      <c r="A236" s="52"/>
      <c r="B236" s="52"/>
      <c r="C236" s="52"/>
      <c r="D236" s="54"/>
      <c r="E236" s="52"/>
      <c r="F236" s="11"/>
      <c r="G236" s="7" t="s">
        <v>27</v>
      </c>
      <c r="H236" s="15"/>
      <c r="I236" s="15"/>
      <c r="J236" s="33"/>
      <c r="K236" s="15">
        <f>+K234*(1+3%*8)</f>
        <v>1.2792662565059437E-2</v>
      </c>
      <c r="L236" s="15">
        <f t="shared" ref="L236:S236" si="106">+L234*(1+3%*8)</f>
        <v>1.3131798434504365E-2</v>
      </c>
      <c r="M236" s="15">
        <f t="shared" si="106"/>
        <v>1.463162074185034E-2</v>
      </c>
      <c r="N236" s="15">
        <f t="shared" si="106"/>
        <v>1.8233103222827944E-2</v>
      </c>
      <c r="O236" s="15">
        <f t="shared" si="106"/>
        <v>1.305286837041292E-2</v>
      </c>
      <c r="P236" s="15">
        <f t="shared" si="106"/>
        <v>1.143563076441426E-2</v>
      </c>
      <c r="Q236" s="15">
        <f t="shared" si="106"/>
        <v>1.1047544523943678E-2</v>
      </c>
      <c r="R236" s="15">
        <f t="shared" si="106"/>
        <v>1.0689462833871365E-2</v>
      </c>
      <c r="S236" s="15">
        <f t="shared" si="106"/>
        <v>1.1233248928339249E-2</v>
      </c>
    </row>
    <row r="237" spans="1:19" ht="16.95" customHeight="1" x14ac:dyDescent="0.25">
      <c r="A237" s="52"/>
      <c r="B237" s="52"/>
      <c r="C237" s="52"/>
      <c r="D237" s="54"/>
      <c r="E237" s="52"/>
      <c r="F237" s="11"/>
      <c r="G237" s="7" t="s">
        <v>24</v>
      </c>
      <c r="H237" s="4">
        <f>(H234-H233)/H233</f>
        <v>0.60434717452757425</v>
      </c>
      <c r="I237" s="4">
        <f t="shared" ref="I237:S237" si="107">(I234-I233)/I233</f>
        <v>0.2852820743354863</v>
      </c>
      <c r="J237" s="4">
        <f t="shared" si="107"/>
        <v>6.5095876059276012E-2</v>
      </c>
      <c r="K237" s="4">
        <f t="shared" si="107"/>
        <v>3.2132914857006659E-2</v>
      </c>
      <c r="L237" s="4">
        <f t="shared" si="107"/>
        <v>-0.10498419326908282</v>
      </c>
      <c r="M237" s="4">
        <f t="shared" si="107"/>
        <v>-0.28106219219181333</v>
      </c>
      <c r="N237" s="4">
        <f t="shared" si="107"/>
        <v>-0.4157840208163075</v>
      </c>
      <c r="O237" s="4">
        <f t="shared" si="107"/>
        <v>-0.27634389178721014</v>
      </c>
      <c r="P237" s="4">
        <f t="shared" si="107"/>
        <v>-6.6318487194322873E-2</v>
      </c>
      <c r="Q237" s="4">
        <f t="shared" si="107"/>
        <v>2.7663474071664119E-2</v>
      </c>
      <c r="R237" s="4">
        <f t="shared" si="107"/>
        <v>2.9366493444255681E-2</v>
      </c>
      <c r="S237" s="4">
        <f t="shared" si="107"/>
        <v>-0.23257915456757461</v>
      </c>
    </row>
    <row r="238" spans="1:19" ht="16.95" customHeight="1" x14ac:dyDescent="0.25">
      <c r="A238" s="52"/>
      <c r="B238" s="52"/>
      <c r="C238" s="52"/>
      <c r="D238" s="54"/>
      <c r="E238" s="52"/>
      <c r="F238" s="11"/>
      <c r="G238" s="16" t="s">
        <v>134</v>
      </c>
      <c r="H238" s="19"/>
      <c r="I238" s="19"/>
      <c r="J238" s="37"/>
      <c r="K238" s="37">
        <v>9.0091132647402705E-3</v>
      </c>
      <c r="L238" s="37">
        <v>9.1137047482396597E-3</v>
      </c>
      <c r="M238" s="37">
        <v>1.25602409575456E-2</v>
      </c>
      <c r="N238" s="37"/>
      <c r="O238" s="37"/>
      <c r="P238" s="37"/>
      <c r="Q238" s="37"/>
      <c r="R238" s="37"/>
      <c r="S238" s="37"/>
    </row>
    <row r="239" spans="1:19" ht="16.95" customHeight="1" x14ac:dyDescent="0.25">
      <c r="A239" s="52"/>
      <c r="B239" s="52"/>
      <c r="C239" s="52"/>
      <c r="D239" s="54"/>
      <c r="E239" s="52"/>
      <c r="F239" s="11"/>
      <c r="G239" s="18" t="s">
        <v>135</v>
      </c>
      <c r="H239" s="22"/>
      <c r="I239" s="22"/>
      <c r="J239" s="22"/>
      <c r="K239" s="19">
        <f>IFERROR(2-K238/K234,"")</f>
        <v>1.1267415683432409</v>
      </c>
      <c r="L239" s="19">
        <f>IFERROR(2-L238/L234,"")</f>
        <v>1.1394176552296651</v>
      </c>
      <c r="M239" s="19">
        <f>IFERROR(2-M238/M234,"")</f>
        <v>0.93554520977920452</v>
      </c>
      <c r="N239" s="22"/>
      <c r="O239" s="22"/>
      <c r="P239" s="22"/>
      <c r="Q239" s="22"/>
      <c r="R239" s="22"/>
      <c r="S239" s="22"/>
    </row>
    <row r="240" spans="1:19" ht="16.95" customHeight="1" x14ac:dyDescent="0.25">
      <c r="A240" s="52" t="s">
        <v>108</v>
      </c>
      <c r="B240" s="52" t="s">
        <v>109</v>
      </c>
      <c r="C240" s="52" t="s">
        <v>110</v>
      </c>
      <c r="D240" s="54">
        <v>0.4</v>
      </c>
      <c r="E240" s="52" t="s">
        <v>44</v>
      </c>
      <c r="F240" s="21"/>
      <c r="G240" s="7" t="s">
        <v>22</v>
      </c>
      <c r="H240" s="11"/>
      <c r="I240" s="11"/>
      <c r="J240" s="15">
        <v>0.88764044943820197</v>
      </c>
      <c r="K240" s="11"/>
      <c r="L240" s="11"/>
      <c r="M240" s="11"/>
      <c r="N240" s="11"/>
      <c r="O240" s="11"/>
      <c r="P240" s="11"/>
      <c r="Q240" s="11"/>
      <c r="R240" s="11"/>
      <c r="S240" s="11"/>
    </row>
    <row r="241" spans="1:19" ht="16.95" customHeight="1" x14ac:dyDescent="0.25">
      <c r="A241" s="52"/>
      <c r="B241" s="52"/>
      <c r="C241" s="52"/>
      <c r="D241" s="54"/>
      <c r="E241" s="52"/>
      <c r="F241" s="11"/>
      <c r="G241" s="7" t="s">
        <v>23</v>
      </c>
      <c r="H241" s="11"/>
      <c r="I241" s="11"/>
      <c r="J241" s="15">
        <v>0.88764044943820197</v>
      </c>
      <c r="K241" s="15">
        <v>0.88759999999999994</v>
      </c>
      <c r="L241" s="15">
        <v>0.88759999999999994</v>
      </c>
      <c r="M241" s="15">
        <v>0.92</v>
      </c>
      <c r="N241" s="15">
        <v>0.92</v>
      </c>
      <c r="O241" s="15">
        <v>0.93</v>
      </c>
      <c r="P241" s="15">
        <v>0.94</v>
      </c>
      <c r="Q241" s="15">
        <v>0.95</v>
      </c>
      <c r="R241" s="15">
        <v>0.97</v>
      </c>
      <c r="S241" s="15">
        <v>0.97</v>
      </c>
    </row>
    <row r="242" spans="1:19" ht="16.95" customHeight="1" x14ac:dyDescent="0.25">
      <c r="A242" s="52"/>
      <c r="B242" s="52"/>
      <c r="C242" s="52"/>
      <c r="D242" s="54"/>
      <c r="E242" s="52"/>
      <c r="F242" s="11"/>
      <c r="G242" s="7" t="s">
        <v>26</v>
      </c>
      <c r="H242" s="11"/>
      <c r="I242" s="11"/>
      <c r="J242" s="15">
        <f>IF(+J241+0.5%*10&gt;100%,100%,+J241+0.5%*10)</f>
        <v>0.93764044943820202</v>
      </c>
      <c r="K242" s="15">
        <f t="shared" ref="K242:S242" si="108">IF(+K241+0.5%*10&gt;100%,100%,+K241+0.5%*10)</f>
        <v>0.93759999999999999</v>
      </c>
      <c r="L242" s="15">
        <f t="shared" si="108"/>
        <v>0.93759999999999999</v>
      </c>
      <c r="M242" s="15">
        <f t="shared" si="108"/>
        <v>0.97000000000000008</v>
      </c>
      <c r="N242" s="15">
        <f t="shared" si="108"/>
        <v>0.97000000000000008</v>
      </c>
      <c r="O242" s="15">
        <f t="shared" si="108"/>
        <v>0.98000000000000009</v>
      </c>
      <c r="P242" s="15">
        <f t="shared" si="108"/>
        <v>0.99</v>
      </c>
      <c r="Q242" s="15">
        <f t="shared" si="108"/>
        <v>1</v>
      </c>
      <c r="R242" s="15">
        <f t="shared" si="108"/>
        <v>1</v>
      </c>
      <c r="S242" s="15">
        <f t="shared" si="108"/>
        <v>1</v>
      </c>
    </row>
    <row r="243" spans="1:19" ht="16.95" customHeight="1" x14ac:dyDescent="0.25">
      <c r="A243" s="52"/>
      <c r="B243" s="52"/>
      <c r="C243" s="52"/>
      <c r="D243" s="54"/>
      <c r="E243" s="52"/>
      <c r="F243" s="11"/>
      <c r="G243" s="7" t="s">
        <v>27</v>
      </c>
      <c r="H243" s="11"/>
      <c r="I243" s="11"/>
      <c r="J243" s="15">
        <f>+J241-0.5%*8</f>
        <v>0.84764044943820194</v>
      </c>
      <c r="K243" s="15">
        <f t="shared" ref="K243:S243" si="109">+K241-0.5%*8</f>
        <v>0.84759999999999991</v>
      </c>
      <c r="L243" s="15">
        <f t="shared" si="109"/>
        <v>0.84759999999999991</v>
      </c>
      <c r="M243" s="15">
        <f t="shared" si="109"/>
        <v>0.88</v>
      </c>
      <c r="N243" s="15">
        <f t="shared" si="109"/>
        <v>0.88</v>
      </c>
      <c r="O243" s="15">
        <f t="shared" si="109"/>
        <v>0.89</v>
      </c>
      <c r="P243" s="15">
        <f t="shared" si="109"/>
        <v>0.89999999999999991</v>
      </c>
      <c r="Q243" s="15">
        <f t="shared" si="109"/>
        <v>0.90999999999999992</v>
      </c>
      <c r="R243" s="15">
        <f t="shared" si="109"/>
        <v>0.92999999999999994</v>
      </c>
      <c r="S243" s="15">
        <f t="shared" si="109"/>
        <v>0.92999999999999994</v>
      </c>
    </row>
    <row r="244" spans="1:19" ht="16.95" customHeight="1" x14ac:dyDescent="0.25">
      <c r="A244" s="52"/>
      <c r="B244" s="52"/>
      <c r="C244" s="52"/>
      <c r="D244" s="54"/>
      <c r="E244" s="52"/>
      <c r="F244" s="11"/>
      <c r="G244" s="7" t="s">
        <v>24</v>
      </c>
      <c r="H244" s="11"/>
      <c r="I244" s="11"/>
      <c r="J244" s="15"/>
      <c r="K244" s="15" t="str">
        <f t="shared" ref="K244:S244" si="110">IFERROR(K241/K240,"")</f>
        <v/>
      </c>
      <c r="L244" s="15" t="str">
        <f t="shared" si="110"/>
        <v/>
      </c>
      <c r="M244" s="15" t="str">
        <f t="shared" si="110"/>
        <v/>
      </c>
      <c r="N244" s="15" t="str">
        <f t="shared" si="110"/>
        <v/>
      </c>
      <c r="O244" s="15" t="str">
        <f t="shared" si="110"/>
        <v/>
      </c>
      <c r="P244" s="15" t="str">
        <f t="shared" si="110"/>
        <v/>
      </c>
      <c r="Q244" s="15" t="str">
        <f t="shared" si="110"/>
        <v/>
      </c>
      <c r="R244" s="15" t="str">
        <f t="shared" si="110"/>
        <v/>
      </c>
      <c r="S244" s="15" t="str">
        <f t="shared" si="110"/>
        <v/>
      </c>
    </row>
    <row r="245" spans="1:19" ht="16.95" customHeight="1" x14ac:dyDescent="0.25">
      <c r="A245" s="52"/>
      <c r="B245" s="52"/>
      <c r="C245" s="52"/>
      <c r="D245" s="54"/>
      <c r="E245" s="52"/>
      <c r="F245" s="11"/>
      <c r="G245" s="16" t="s">
        <v>134</v>
      </c>
      <c r="H245" s="22"/>
      <c r="I245" s="22"/>
      <c r="J245" s="19"/>
      <c r="K245" s="19">
        <v>0.88629999999999998</v>
      </c>
      <c r="L245" s="19">
        <v>0.88629999999999998</v>
      </c>
      <c r="M245" s="19">
        <v>0.86360000000000003</v>
      </c>
      <c r="N245" s="19">
        <v>0.9204</v>
      </c>
      <c r="O245" s="19"/>
      <c r="P245" s="19"/>
      <c r="Q245" s="19"/>
      <c r="R245" s="19"/>
      <c r="S245" s="19"/>
    </row>
    <row r="246" spans="1:19" ht="16.95" customHeight="1" x14ac:dyDescent="0.25">
      <c r="A246" s="52"/>
      <c r="B246" s="52"/>
      <c r="C246" s="52"/>
      <c r="D246" s="54"/>
      <c r="E246" s="52"/>
      <c r="F246" s="11"/>
      <c r="G246" s="18" t="s">
        <v>135</v>
      </c>
      <c r="H246" s="19" t="str">
        <f t="shared" ref="H246:S246" si="111">IFERROR(H241/H240,"")</f>
        <v/>
      </c>
      <c r="I246" s="19" t="str">
        <f t="shared" si="111"/>
        <v/>
      </c>
      <c r="J246" s="19">
        <f t="shared" si="111"/>
        <v>1</v>
      </c>
      <c r="K246" s="19">
        <f>IFERROR(K245/K241,"")</f>
        <v>0.99853537629562872</v>
      </c>
      <c r="L246" s="19">
        <f>IFERROR(L245/L241,"")</f>
        <v>0.99853537629562872</v>
      </c>
      <c r="M246" s="19">
        <f>IFERROR(M245/M241,"")</f>
        <v>0.93869565217391304</v>
      </c>
      <c r="N246" s="19">
        <f>IFERROR(N245/N241,"")</f>
        <v>1.0004347826086957</v>
      </c>
      <c r="O246" s="19" t="str">
        <f t="shared" si="111"/>
        <v/>
      </c>
      <c r="P246" s="19" t="str">
        <f t="shared" si="111"/>
        <v/>
      </c>
      <c r="Q246" s="19" t="str">
        <f t="shared" si="111"/>
        <v/>
      </c>
      <c r="R246" s="19" t="str">
        <f t="shared" si="111"/>
        <v/>
      </c>
      <c r="S246" s="19" t="str">
        <f t="shared" si="111"/>
        <v/>
      </c>
    </row>
    <row r="247" spans="1:19" s="20" customFormat="1" ht="16.95" customHeight="1" x14ac:dyDescent="0.25">
      <c r="A247" s="53" t="s">
        <v>108</v>
      </c>
      <c r="B247" s="53" t="s">
        <v>111</v>
      </c>
      <c r="C247" s="53" t="s">
        <v>112</v>
      </c>
      <c r="D247" s="54">
        <v>0.6</v>
      </c>
      <c r="E247" s="53" t="s">
        <v>36</v>
      </c>
      <c r="F247" s="21"/>
      <c r="G247" s="7" t="s">
        <v>22</v>
      </c>
      <c r="H247" s="15">
        <v>9.5542623596049606E-2</v>
      </c>
      <c r="I247" s="15">
        <v>9.3096675619804101E-2</v>
      </c>
      <c r="J247" s="15">
        <v>5.9286679228254403E-2</v>
      </c>
      <c r="K247" s="15">
        <v>7.4768611850825298E-2</v>
      </c>
      <c r="L247" s="15">
        <v>7.9609977904553403E-2</v>
      </c>
      <c r="M247" s="15">
        <v>0.109518965573834</v>
      </c>
      <c r="N247" s="15">
        <v>0.18118729371966599</v>
      </c>
      <c r="O247" s="15">
        <v>0.11023865945415499</v>
      </c>
      <c r="P247" s="15">
        <v>8.3899572717572202E-2</v>
      </c>
      <c r="Q247" s="15">
        <v>7.1796255798660405E-2</v>
      </c>
      <c r="R247" s="15">
        <v>6.8522497579540598E-2</v>
      </c>
      <c r="S247" s="15">
        <v>6.7152798231982502E-2</v>
      </c>
    </row>
    <row r="248" spans="1:19" s="20" customFormat="1" ht="16.95" customHeight="1" x14ac:dyDescent="0.25">
      <c r="A248" s="53"/>
      <c r="B248" s="53"/>
      <c r="C248" s="53"/>
      <c r="D248" s="54"/>
      <c r="E248" s="53"/>
      <c r="F248" s="21"/>
      <c r="G248" s="7" t="s">
        <v>23</v>
      </c>
      <c r="H248" s="15">
        <v>0.14713705433507501</v>
      </c>
      <c r="I248" s="15">
        <v>0.14140177159494099</v>
      </c>
      <c r="J248" s="15">
        <v>4.0707037545555699E-2</v>
      </c>
      <c r="K248" s="15">
        <v>4.5370071247576499E-2</v>
      </c>
      <c r="L248" s="15">
        <v>5.13488929569451E-2</v>
      </c>
      <c r="M248" s="15">
        <v>5.8946528272395902E-2</v>
      </c>
      <c r="N248" s="15">
        <v>8.3628241454336796E-2</v>
      </c>
      <c r="O248" s="15">
        <v>5.45840378731971E-2</v>
      </c>
      <c r="P248" s="15">
        <v>4.18577022230237E-2</v>
      </c>
      <c r="Q248" s="15">
        <v>3.6069433469005603E-2</v>
      </c>
      <c r="R248" s="15">
        <v>2.99494106101931E-2</v>
      </c>
      <c r="S248" s="15">
        <v>2.9254955987799199E-2</v>
      </c>
    </row>
    <row r="249" spans="1:19" s="20" customFormat="1" ht="16.95" customHeight="1" x14ac:dyDescent="0.25">
      <c r="A249" s="53"/>
      <c r="B249" s="53"/>
      <c r="C249" s="53"/>
      <c r="D249" s="54"/>
      <c r="E249" s="53"/>
      <c r="F249" s="21"/>
      <c r="G249" s="7" t="s">
        <v>26</v>
      </c>
      <c r="H249" s="15"/>
      <c r="I249" s="15"/>
      <c r="J249" s="15"/>
      <c r="K249" s="15">
        <f>+K248*(1-3%*10)</f>
        <v>3.1759049873303545E-2</v>
      </c>
      <c r="L249" s="15">
        <f t="shared" ref="L249:S249" si="112">+L248*(1-3%*10)</f>
        <v>3.5944225069861564E-2</v>
      </c>
      <c r="M249" s="15">
        <f t="shared" si="112"/>
        <v>4.1262569790677127E-2</v>
      </c>
      <c r="N249" s="15">
        <f t="shared" si="112"/>
        <v>5.8539769018035752E-2</v>
      </c>
      <c r="O249" s="15">
        <f t="shared" si="112"/>
        <v>3.820882651123797E-2</v>
      </c>
      <c r="P249" s="15">
        <f t="shared" si="112"/>
        <v>2.9300391556116589E-2</v>
      </c>
      <c r="Q249" s="15">
        <f t="shared" si="112"/>
        <v>2.5248603428303922E-2</v>
      </c>
      <c r="R249" s="15">
        <f t="shared" si="112"/>
        <v>2.0964587427135167E-2</v>
      </c>
      <c r="S249" s="15">
        <f t="shared" si="112"/>
        <v>2.0478469191459438E-2</v>
      </c>
    </row>
    <row r="250" spans="1:19" s="20" customFormat="1" ht="16.95" customHeight="1" x14ac:dyDescent="0.25">
      <c r="A250" s="53"/>
      <c r="B250" s="53"/>
      <c r="C250" s="53"/>
      <c r="D250" s="54"/>
      <c r="E250" s="53"/>
      <c r="F250" s="21"/>
      <c r="G250" s="7" t="s">
        <v>27</v>
      </c>
      <c r="H250" s="15"/>
      <c r="I250" s="15"/>
      <c r="J250" s="15"/>
      <c r="K250" s="15">
        <f>+K248*(1+3%*8)</f>
        <v>5.6258888346994856E-2</v>
      </c>
      <c r="L250" s="15">
        <f t="shared" ref="L250:S250" si="113">+L248*(1+3%*8)</f>
        <v>6.3672627266611923E-2</v>
      </c>
      <c r="M250" s="15">
        <f t="shared" si="113"/>
        <v>7.3093695057770913E-2</v>
      </c>
      <c r="N250" s="15">
        <f t="shared" si="113"/>
        <v>0.10369901940337763</v>
      </c>
      <c r="O250" s="15">
        <f t="shared" si="113"/>
        <v>6.7684206962764407E-2</v>
      </c>
      <c r="P250" s="15">
        <f t="shared" si="113"/>
        <v>5.1903550756549385E-2</v>
      </c>
      <c r="Q250" s="15">
        <f t="shared" si="113"/>
        <v>4.4726097501566947E-2</v>
      </c>
      <c r="R250" s="15">
        <f t="shared" si="113"/>
        <v>3.7137269156639445E-2</v>
      </c>
      <c r="S250" s="15">
        <f t="shared" si="113"/>
        <v>3.6276145424871009E-2</v>
      </c>
    </row>
    <row r="251" spans="1:19" s="20" customFormat="1" ht="16.95" customHeight="1" x14ac:dyDescent="0.25">
      <c r="A251" s="53"/>
      <c r="B251" s="53"/>
      <c r="C251" s="53"/>
      <c r="D251" s="54"/>
      <c r="E251" s="53"/>
      <c r="F251" s="21"/>
      <c r="G251" s="7" t="s">
        <v>24</v>
      </c>
      <c r="H251" s="4">
        <f>(H248-H247)/H247</f>
        <v>0.54001479964758559</v>
      </c>
      <c r="I251" s="4">
        <f t="shared" ref="I251:S251" si="114">(I248-I247)/I247</f>
        <v>0.51887025668251829</v>
      </c>
      <c r="J251" s="4">
        <f t="shared" si="114"/>
        <v>-0.31338644573373503</v>
      </c>
      <c r="K251" s="4">
        <f t="shared" si="114"/>
        <v>-0.39319361260716379</v>
      </c>
      <c r="L251" s="4">
        <f t="shared" si="114"/>
        <v>-0.35499425689442216</v>
      </c>
      <c r="M251" s="4">
        <f t="shared" si="114"/>
        <v>-0.46176876339599704</v>
      </c>
      <c r="N251" s="4">
        <f t="shared" si="114"/>
        <v>-0.53844312292821761</v>
      </c>
      <c r="O251" s="4">
        <f t="shared" si="114"/>
        <v>-0.5048557543835428</v>
      </c>
      <c r="P251" s="4">
        <f t="shared" si="114"/>
        <v>-0.5010975519037788</v>
      </c>
      <c r="Q251" s="4">
        <f t="shared" si="114"/>
        <v>-0.49761400413197315</v>
      </c>
      <c r="R251" s="4">
        <f t="shared" si="114"/>
        <v>-0.5629258759077197</v>
      </c>
      <c r="S251" s="4">
        <f t="shared" si="114"/>
        <v>-0.56435239099439194</v>
      </c>
    </row>
    <row r="252" spans="1:19" s="20" customFormat="1" ht="16.95" customHeight="1" x14ac:dyDescent="0.25">
      <c r="A252" s="53"/>
      <c r="B252" s="53"/>
      <c r="C252" s="53"/>
      <c r="D252" s="54"/>
      <c r="E252" s="53"/>
      <c r="F252" s="21"/>
      <c r="G252" s="16" t="s">
        <v>134</v>
      </c>
      <c r="H252" s="19"/>
      <c r="I252" s="19"/>
      <c r="J252" s="19"/>
      <c r="K252" s="19">
        <v>5.30533548135474E-2</v>
      </c>
      <c r="L252" s="19">
        <v>4.5045755921709799E-2</v>
      </c>
      <c r="M252" s="19">
        <v>6.0528091829573603E-2</v>
      </c>
      <c r="N252" s="19"/>
      <c r="O252" s="19"/>
      <c r="P252" s="19"/>
      <c r="Q252" s="19"/>
      <c r="R252" s="19"/>
      <c r="S252" s="19"/>
    </row>
    <row r="253" spans="1:19" ht="16.95" customHeight="1" x14ac:dyDescent="0.25">
      <c r="A253" s="52"/>
      <c r="B253" s="52"/>
      <c r="C253" s="52"/>
      <c r="D253" s="54"/>
      <c r="E253" s="52"/>
      <c r="F253" s="21"/>
      <c r="G253" s="18" t="s">
        <v>135</v>
      </c>
      <c r="H253" s="22"/>
      <c r="I253" s="22"/>
      <c r="J253" s="22"/>
      <c r="K253" s="19">
        <f>IFERROR(2-K252/K248,"")</f>
        <v>0.83065304164843434</v>
      </c>
      <c r="L253" s="19">
        <f>IFERROR(2-L252/L248,"")</f>
        <v>1.1227511767492309</v>
      </c>
      <c r="M253" s="19">
        <f>IFERROR(2-M252/M248,"")</f>
        <v>0.9731695215387548</v>
      </c>
      <c r="N253" s="22"/>
      <c r="O253" s="22"/>
      <c r="P253" s="22"/>
      <c r="Q253" s="22"/>
      <c r="R253" s="22"/>
      <c r="S253" s="22"/>
    </row>
    <row r="254" spans="1:19" ht="16.95" customHeight="1" x14ac:dyDescent="0.25">
      <c r="A254" s="53" t="s">
        <v>108</v>
      </c>
      <c r="B254" s="52" t="s">
        <v>113</v>
      </c>
      <c r="C254" s="52" t="s">
        <v>114</v>
      </c>
      <c r="D254" s="54"/>
      <c r="E254" s="52"/>
      <c r="F254" s="21"/>
      <c r="G254" s="7"/>
      <c r="H254" s="15"/>
      <c r="I254" s="15"/>
      <c r="J254" s="15"/>
      <c r="K254" s="15"/>
      <c r="L254" s="15"/>
      <c r="M254" s="15"/>
      <c r="N254" s="15"/>
      <c r="O254" s="15"/>
      <c r="P254" s="15"/>
      <c r="Q254" s="15"/>
      <c r="R254" s="15"/>
      <c r="S254" s="15"/>
    </row>
    <row r="255" spans="1:19" ht="16.95" customHeight="1" x14ac:dyDescent="0.25">
      <c r="A255" s="53"/>
      <c r="B255" s="52"/>
      <c r="C255" s="52"/>
      <c r="D255" s="54"/>
      <c r="E255" s="52"/>
      <c r="F255" s="21"/>
      <c r="G255" s="7"/>
      <c r="H255" s="15"/>
      <c r="I255" s="15"/>
      <c r="J255" s="15"/>
      <c r="K255" s="15"/>
      <c r="L255" s="15"/>
      <c r="M255" s="15"/>
      <c r="N255" s="15"/>
      <c r="O255" s="15"/>
      <c r="P255" s="15"/>
      <c r="Q255" s="15"/>
      <c r="R255" s="15"/>
      <c r="S255" s="15"/>
    </row>
    <row r="256" spans="1:19" ht="16.95" customHeight="1" x14ac:dyDescent="0.25">
      <c r="A256" s="52"/>
      <c r="B256" s="52"/>
      <c r="C256" s="52"/>
      <c r="D256" s="54"/>
      <c r="E256" s="52"/>
      <c r="F256" s="21"/>
      <c r="G256" s="7"/>
      <c r="H256" s="15"/>
      <c r="I256" s="15"/>
      <c r="J256" s="15"/>
      <c r="K256" s="15"/>
      <c r="L256" s="15"/>
      <c r="M256" s="15"/>
      <c r="N256" s="15"/>
      <c r="O256" s="15"/>
      <c r="P256" s="15"/>
      <c r="Q256" s="15"/>
      <c r="R256" s="15"/>
      <c r="S256" s="15"/>
    </row>
    <row r="257" spans="1:19" s="20" customFormat="1" ht="16.95" customHeight="1" x14ac:dyDescent="0.25">
      <c r="A257" s="53" t="s">
        <v>115</v>
      </c>
      <c r="B257" s="53" t="s">
        <v>116</v>
      </c>
      <c r="C257" s="53" t="s">
        <v>117</v>
      </c>
      <c r="D257" s="54">
        <v>0.7</v>
      </c>
      <c r="E257" s="53" t="s">
        <v>36</v>
      </c>
      <c r="F257" s="21"/>
      <c r="G257" s="7" t="s">
        <v>22</v>
      </c>
      <c r="H257" s="15">
        <v>1.6439203396401699E-2</v>
      </c>
      <c r="I257" s="15">
        <v>6.4075983434116902E-3</v>
      </c>
      <c r="J257" s="15">
        <v>2.0294170007500199E-2</v>
      </c>
      <c r="K257" s="15">
        <v>1.96653039215051E-2</v>
      </c>
      <c r="L257" s="15">
        <v>2.33627284954607E-2</v>
      </c>
      <c r="M257" s="15">
        <v>2.5592965718696799E-2</v>
      </c>
      <c r="N257" s="15">
        <v>5.4866997943962298E-2</v>
      </c>
      <c r="O257" s="15">
        <v>1.6238788283572999E-2</v>
      </c>
      <c r="P257" s="15">
        <v>1.5516534686632E-2</v>
      </c>
      <c r="Q257" s="15">
        <v>1.4562461506540799E-2</v>
      </c>
      <c r="R257" s="15">
        <v>1.0206243739907901E-2</v>
      </c>
      <c r="S257" s="15">
        <v>9.7532059031596903E-3</v>
      </c>
    </row>
    <row r="258" spans="1:19" s="20" customFormat="1" ht="16.95" customHeight="1" x14ac:dyDescent="0.25">
      <c r="A258" s="53"/>
      <c r="B258" s="53"/>
      <c r="C258" s="53"/>
      <c r="D258" s="54"/>
      <c r="E258" s="53"/>
      <c r="F258" s="21"/>
      <c r="G258" s="7" t="s">
        <v>23</v>
      </c>
      <c r="H258" s="15">
        <v>2.3589590893421199E-2</v>
      </c>
      <c r="I258" s="15">
        <v>1.0580882426083699E-2</v>
      </c>
      <c r="J258" s="15">
        <v>4.0054183129721701E-3</v>
      </c>
      <c r="K258" s="15">
        <v>5.4576727676488197E-3</v>
      </c>
      <c r="L258" s="15">
        <v>8.5363505805213097E-3</v>
      </c>
      <c r="M258" s="15">
        <v>9.7543444410572808E-3</v>
      </c>
      <c r="N258" s="15">
        <v>1.10193582842098E-2</v>
      </c>
      <c r="O258" s="15">
        <v>6.5098213413442097E-3</v>
      </c>
      <c r="P258" s="15">
        <v>6.77053160314938E-3</v>
      </c>
      <c r="Q258" s="15">
        <v>5.5334287040400797E-3</v>
      </c>
      <c r="R258" s="15">
        <v>4.7205839031895002E-3</v>
      </c>
      <c r="S258" s="15">
        <v>5.4666233569225196E-3</v>
      </c>
    </row>
    <row r="259" spans="1:19" s="20" customFormat="1" ht="16.95" customHeight="1" x14ac:dyDescent="0.25">
      <c r="A259" s="53"/>
      <c r="B259" s="53"/>
      <c r="C259" s="53"/>
      <c r="D259" s="54"/>
      <c r="E259" s="53"/>
      <c r="F259" s="21"/>
      <c r="G259" s="7" t="s">
        <v>26</v>
      </c>
      <c r="H259" s="15"/>
      <c r="I259" s="15"/>
      <c r="J259" s="15"/>
      <c r="K259" s="15">
        <f>+K258*(1-3%*10)</f>
        <v>3.8203709373541735E-3</v>
      </c>
      <c r="L259" s="15">
        <f t="shared" ref="L259:S259" si="115">+L258*(1-3%*10)</f>
        <v>5.9754454063649168E-3</v>
      </c>
      <c r="M259" s="15">
        <f t="shared" si="115"/>
        <v>6.8280411087400959E-3</v>
      </c>
      <c r="N259" s="15">
        <f t="shared" si="115"/>
        <v>7.7135507989468596E-3</v>
      </c>
      <c r="O259" s="15">
        <f t="shared" si="115"/>
        <v>4.5568749389409465E-3</v>
      </c>
      <c r="P259" s="15">
        <f t="shared" si="115"/>
        <v>4.7393721222045654E-3</v>
      </c>
      <c r="Q259" s="15">
        <f t="shared" si="115"/>
        <v>3.8734000928280555E-3</v>
      </c>
      <c r="R259" s="15">
        <f t="shared" si="115"/>
        <v>3.3044087322326499E-3</v>
      </c>
      <c r="S259" s="15">
        <f t="shared" si="115"/>
        <v>3.8266363498457635E-3</v>
      </c>
    </row>
    <row r="260" spans="1:19" s="20" customFormat="1" ht="16.95" customHeight="1" x14ac:dyDescent="0.25">
      <c r="A260" s="53"/>
      <c r="B260" s="53"/>
      <c r="C260" s="53"/>
      <c r="D260" s="54"/>
      <c r="E260" s="53"/>
      <c r="F260" s="21"/>
      <c r="G260" s="7" t="s">
        <v>27</v>
      </c>
      <c r="H260" s="15"/>
      <c r="I260" s="15"/>
      <c r="J260" s="15"/>
      <c r="K260" s="15">
        <f>+K258*(1+3%*8)</f>
        <v>6.7675142318845364E-3</v>
      </c>
      <c r="L260" s="15">
        <f t="shared" ref="L260:S260" si="116">+L258*(1+3%*8)</f>
        <v>1.0585074719846424E-2</v>
      </c>
      <c r="M260" s="15">
        <f t="shared" si="116"/>
        <v>1.2095387106911028E-2</v>
      </c>
      <c r="N260" s="15">
        <f t="shared" si="116"/>
        <v>1.3664004272420151E-2</v>
      </c>
      <c r="O260" s="15">
        <f t="shared" si="116"/>
        <v>8.07217846326682E-3</v>
      </c>
      <c r="P260" s="15">
        <f t="shared" si="116"/>
        <v>8.3954591879052305E-3</v>
      </c>
      <c r="Q260" s="15">
        <f t="shared" si="116"/>
        <v>6.8614515930096988E-3</v>
      </c>
      <c r="R260" s="15">
        <f t="shared" si="116"/>
        <v>5.85352403995498E-3</v>
      </c>
      <c r="S260" s="15">
        <f t="shared" si="116"/>
        <v>6.7786129625839247E-3</v>
      </c>
    </row>
    <row r="261" spans="1:19" s="20" customFormat="1" ht="16.95" customHeight="1" x14ac:dyDescent="0.25">
      <c r="A261" s="53"/>
      <c r="B261" s="53"/>
      <c r="C261" s="53"/>
      <c r="D261" s="54"/>
      <c r="E261" s="53"/>
      <c r="F261" s="21"/>
      <c r="G261" s="7" t="s">
        <v>24</v>
      </c>
      <c r="H261" s="4">
        <f>(H258-H257)/H257</f>
        <v>0.43495948827937825</v>
      </c>
      <c r="I261" s="4">
        <f t="shared" ref="I261:R261" si="117">(I258-I257)/I257</f>
        <v>0.65130238491977122</v>
      </c>
      <c r="J261" s="4">
        <f t="shared" si="117"/>
        <v>-0.80263207061476916</v>
      </c>
      <c r="K261" s="4">
        <f t="shared" si="117"/>
        <v>-0.72247198469785401</v>
      </c>
      <c r="L261" s="4">
        <f t="shared" si="117"/>
        <v>-0.63461671087861615</v>
      </c>
      <c r="M261" s="4">
        <f t="shared" si="117"/>
        <v>-0.6188661936146268</v>
      </c>
      <c r="N261" s="4">
        <f t="shared" si="117"/>
        <v>-0.79916236176318078</v>
      </c>
      <c r="O261" s="4">
        <f t="shared" si="117"/>
        <v>-0.59911902121850547</v>
      </c>
      <c r="P261" s="4">
        <f t="shared" si="117"/>
        <v>-0.56365698012569687</v>
      </c>
      <c r="Q261" s="4">
        <f t="shared" si="117"/>
        <v>-0.6200210588330336</v>
      </c>
      <c r="R261" s="4">
        <f t="shared" si="117"/>
        <v>-0.53748077907141012</v>
      </c>
      <c r="S261" s="4">
        <f>(S258-S257)/S257</f>
        <v>-0.43950497803480915</v>
      </c>
    </row>
    <row r="262" spans="1:19" s="20" customFormat="1" ht="16.95" customHeight="1" x14ac:dyDescent="0.25">
      <c r="A262" s="53"/>
      <c r="B262" s="53"/>
      <c r="C262" s="53"/>
      <c r="D262" s="54"/>
      <c r="E262" s="53"/>
      <c r="F262" s="21"/>
      <c r="G262" s="16" t="s">
        <v>134</v>
      </c>
      <c r="H262" s="19"/>
      <c r="I262" s="19"/>
      <c r="J262" s="19"/>
      <c r="K262" s="19">
        <v>6.0702613388735702E-3</v>
      </c>
      <c r="L262" s="19">
        <v>4.0296550991487197E-3</v>
      </c>
      <c r="M262" s="19">
        <v>7.5656729517274502E-3</v>
      </c>
      <c r="N262" s="19"/>
      <c r="O262" s="19"/>
      <c r="P262" s="19"/>
      <c r="Q262" s="19"/>
      <c r="R262" s="19"/>
      <c r="S262" s="19"/>
    </row>
    <row r="263" spans="1:19" ht="16.95" customHeight="1" x14ac:dyDescent="0.25">
      <c r="A263" s="52"/>
      <c r="B263" s="52"/>
      <c r="C263" s="52"/>
      <c r="D263" s="54"/>
      <c r="E263" s="52"/>
      <c r="F263" s="21"/>
      <c r="G263" s="18" t="s">
        <v>135</v>
      </c>
      <c r="H263" s="22"/>
      <c r="I263" s="22"/>
      <c r="J263" s="22"/>
      <c r="K263" s="19">
        <f>IFERROR(2-K262/K258,"")</f>
        <v>0.88775644907551765</v>
      </c>
      <c r="L263" s="19">
        <f>IFERROR(2-L262/L258,"")</f>
        <v>1.5279417051656949</v>
      </c>
      <c r="M263" s="19">
        <f>IFERROR(2-M262/M258,"")</f>
        <v>1.2243791474204491</v>
      </c>
      <c r="N263" s="22"/>
      <c r="O263" s="22"/>
      <c r="P263" s="22"/>
      <c r="Q263" s="22"/>
      <c r="R263" s="22"/>
      <c r="S263" s="22"/>
    </row>
    <row r="264" spans="1:19" ht="16.95" customHeight="1" x14ac:dyDescent="0.25">
      <c r="A264" s="52" t="s">
        <v>115</v>
      </c>
      <c r="B264" s="52" t="s">
        <v>118</v>
      </c>
      <c r="C264" s="52" t="s">
        <v>119</v>
      </c>
      <c r="D264" s="54">
        <v>0.3</v>
      </c>
      <c r="E264" s="52" t="s">
        <v>120</v>
      </c>
      <c r="F264" s="21"/>
      <c r="G264" s="7" t="s">
        <v>22</v>
      </c>
      <c r="H264" s="51">
        <v>90.2</v>
      </c>
      <c r="I264" s="51">
        <v>90.2</v>
      </c>
      <c r="J264" s="51">
        <v>90.2</v>
      </c>
      <c r="K264" s="51">
        <v>90.2</v>
      </c>
      <c r="L264" s="51">
        <v>90.2</v>
      </c>
      <c r="M264" s="51">
        <v>90.2</v>
      </c>
      <c r="N264" s="51">
        <v>90.2</v>
      </c>
      <c r="O264" s="51">
        <v>90.2</v>
      </c>
      <c r="P264" s="51">
        <v>90.2</v>
      </c>
      <c r="Q264" s="51">
        <v>90.2</v>
      </c>
      <c r="R264" s="51">
        <v>90.2</v>
      </c>
      <c r="S264" s="51">
        <v>90.2</v>
      </c>
    </row>
    <row r="265" spans="1:19" ht="16.95" customHeight="1" x14ac:dyDescent="0.25">
      <c r="A265" s="52"/>
      <c r="B265" s="52"/>
      <c r="C265" s="52"/>
      <c r="D265" s="54"/>
      <c r="E265" s="52"/>
      <c r="F265" s="11"/>
      <c r="G265" s="7" t="s">
        <v>23</v>
      </c>
      <c r="H265" s="51"/>
      <c r="I265" s="51"/>
      <c r="J265" s="51"/>
      <c r="K265" s="51">
        <v>90</v>
      </c>
      <c r="L265" s="51">
        <v>90</v>
      </c>
      <c r="M265" s="51">
        <v>91</v>
      </c>
      <c r="N265" s="51">
        <v>91</v>
      </c>
      <c r="O265" s="51">
        <v>91</v>
      </c>
      <c r="P265" s="51">
        <v>91</v>
      </c>
      <c r="Q265" s="51">
        <v>91</v>
      </c>
      <c r="R265" s="51">
        <v>91</v>
      </c>
      <c r="S265" s="51">
        <v>91</v>
      </c>
    </row>
    <row r="266" spans="1:19" ht="16.95" customHeight="1" x14ac:dyDescent="0.25">
      <c r="A266" s="52"/>
      <c r="B266" s="52"/>
      <c r="C266" s="52"/>
      <c r="D266" s="54"/>
      <c r="E266" s="52"/>
      <c r="F266" s="11"/>
      <c r="G266" s="7" t="s">
        <v>26</v>
      </c>
      <c r="H266" s="51"/>
      <c r="I266" s="51"/>
      <c r="J266" s="51"/>
      <c r="K266" s="51"/>
      <c r="L266" s="51">
        <f>L265+5</f>
        <v>95</v>
      </c>
      <c r="M266" s="51">
        <f t="shared" ref="M266:S266" si="118">M265+5</f>
        <v>96</v>
      </c>
      <c r="N266" s="51">
        <f t="shared" si="118"/>
        <v>96</v>
      </c>
      <c r="O266" s="51">
        <f t="shared" si="118"/>
        <v>96</v>
      </c>
      <c r="P266" s="51">
        <f t="shared" si="118"/>
        <v>96</v>
      </c>
      <c r="Q266" s="51">
        <f t="shared" si="118"/>
        <v>96</v>
      </c>
      <c r="R266" s="51">
        <f t="shared" si="118"/>
        <v>96</v>
      </c>
      <c r="S266" s="51">
        <f t="shared" si="118"/>
        <v>96</v>
      </c>
    </row>
    <row r="267" spans="1:19" ht="16.95" customHeight="1" x14ac:dyDescent="0.25">
      <c r="A267" s="52"/>
      <c r="B267" s="52"/>
      <c r="C267" s="52"/>
      <c r="D267" s="54"/>
      <c r="E267" s="52"/>
      <c r="F267" s="11"/>
      <c r="G267" s="7" t="s">
        <v>27</v>
      </c>
      <c r="H267" s="51"/>
      <c r="I267" s="51"/>
      <c r="J267" s="51"/>
      <c r="K267" s="51"/>
      <c r="L267" s="51">
        <f>L265-4</f>
        <v>86</v>
      </c>
      <c r="M267" s="51">
        <f t="shared" ref="M267:S267" si="119">M265-4</f>
        <v>87</v>
      </c>
      <c r="N267" s="51">
        <f t="shared" si="119"/>
        <v>87</v>
      </c>
      <c r="O267" s="51">
        <f t="shared" si="119"/>
        <v>87</v>
      </c>
      <c r="P267" s="51">
        <f t="shared" si="119"/>
        <v>87</v>
      </c>
      <c r="Q267" s="51">
        <f t="shared" si="119"/>
        <v>87</v>
      </c>
      <c r="R267" s="51">
        <f t="shared" si="119"/>
        <v>87</v>
      </c>
      <c r="S267" s="51">
        <f t="shared" si="119"/>
        <v>87</v>
      </c>
    </row>
    <row r="268" spans="1:19" ht="16.95" customHeight="1" x14ac:dyDescent="0.25">
      <c r="A268" s="52"/>
      <c r="B268" s="52"/>
      <c r="C268" s="52"/>
      <c r="D268" s="54"/>
      <c r="E268" s="52"/>
      <c r="F268" s="11"/>
      <c r="G268" s="7" t="s">
        <v>24</v>
      </c>
      <c r="H268" s="15"/>
      <c r="I268" s="15"/>
      <c r="J268" s="15"/>
      <c r="K268" s="4">
        <f>(K265-K264)/K264</f>
        <v>-2.2172949002217607E-3</v>
      </c>
      <c r="L268" s="4">
        <f>(L265-L264)/L264</f>
        <v>-2.2172949002217607E-3</v>
      </c>
      <c r="M268" s="4">
        <f>(M265-M264)/M264</f>
        <v>8.8691796008868867E-3</v>
      </c>
      <c r="N268" s="4">
        <f t="shared" ref="N268:S268" si="120">(N265-N264)/N264</f>
        <v>8.8691796008868867E-3</v>
      </c>
      <c r="O268" s="4">
        <f t="shared" si="120"/>
        <v>8.8691796008868867E-3</v>
      </c>
      <c r="P268" s="4">
        <f t="shared" si="120"/>
        <v>8.8691796008868867E-3</v>
      </c>
      <c r="Q268" s="4">
        <f t="shared" si="120"/>
        <v>8.8691796008868867E-3</v>
      </c>
      <c r="R268" s="4">
        <f t="shared" si="120"/>
        <v>8.8691796008868867E-3</v>
      </c>
      <c r="S268" s="4">
        <f t="shared" si="120"/>
        <v>8.8691796008868867E-3</v>
      </c>
    </row>
    <row r="269" spans="1:19" ht="16.95" customHeight="1" x14ac:dyDescent="0.25">
      <c r="A269" s="52"/>
      <c r="B269" s="52"/>
      <c r="C269" s="52"/>
      <c r="D269" s="54"/>
      <c r="E269" s="52"/>
      <c r="F269" s="11"/>
      <c r="G269" s="16" t="s">
        <v>134</v>
      </c>
      <c r="H269" s="22"/>
      <c r="I269" s="22"/>
      <c r="J269" s="22"/>
      <c r="K269" s="22"/>
      <c r="L269" s="46">
        <v>78.7</v>
      </c>
      <c r="M269" s="46">
        <v>81.58</v>
      </c>
      <c r="N269" s="22">
        <v>81.709999999999994</v>
      </c>
      <c r="O269" s="22"/>
      <c r="P269" s="22"/>
      <c r="Q269" s="22"/>
      <c r="R269" s="22"/>
      <c r="S269" s="22"/>
    </row>
    <row r="270" spans="1:19" ht="16.95" customHeight="1" x14ac:dyDescent="0.25">
      <c r="A270" s="52"/>
      <c r="B270" s="52"/>
      <c r="C270" s="52"/>
      <c r="D270" s="54"/>
      <c r="E270" s="52"/>
      <c r="F270" s="11"/>
      <c r="G270" s="18" t="s">
        <v>135</v>
      </c>
      <c r="H270" s="22"/>
      <c r="I270" s="22"/>
      <c r="J270" s="22"/>
      <c r="K270" s="19"/>
      <c r="L270" s="19">
        <f>IFERROR(L269/L265,"")</f>
        <v>0.87444444444444447</v>
      </c>
      <c r="M270" s="19">
        <f>IFERROR(M269/M265,"")</f>
        <v>0.89648351648351643</v>
      </c>
      <c r="N270" s="19">
        <f>IFERROR(N269/N265,"")</f>
        <v>0.89791208791208788</v>
      </c>
      <c r="O270" s="22"/>
      <c r="P270" s="22"/>
      <c r="Q270" s="22"/>
      <c r="R270" s="22"/>
      <c r="S270" s="22"/>
    </row>
    <row r="271" spans="1:19" s="20" customFormat="1" ht="16.95" customHeight="1" x14ac:dyDescent="0.25">
      <c r="A271" s="53" t="s">
        <v>121</v>
      </c>
      <c r="B271" s="55" t="s">
        <v>34</v>
      </c>
      <c r="C271" s="53" t="s">
        <v>122</v>
      </c>
      <c r="D271" s="56">
        <v>0.5</v>
      </c>
      <c r="E271" s="56" t="s">
        <v>36</v>
      </c>
      <c r="F271" s="53"/>
      <c r="G271" s="9" t="s">
        <v>22</v>
      </c>
      <c r="H271" s="15">
        <v>0.167874284383984</v>
      </c>
      <c r="I271" s="15">
        <v>0.166294295505413</v>
      </c>
      <c r="J271" s="15">
        <v>9.9923678359765095E-2</v>
      </c>
      <c r="K271" s="15">
        <v>0.14862195115538299</v>
      </c>
      <c r="L271" s="15">
        <v>0.14667716609304199</v>
      </c>
      <c r="M271" s="15">
        <v>0.189731008225972</v>
      </c>
      <c r="N271" s="15">
        <v>0.281217030859995</v>
      </c>
      <c r="O271" s="15">
        <v>0.17812925568833299</v>
      </c>
      <c r="P271" s="15">
        <v>0.134510408951873</v>
      </c>
      <c r="Q271" s="15">
        <v>0.124094385035983</v>
      </c>
      <c r="R271" s="15">
        <v>0.111103921660389</v>
      </c>
      <c r="S271" s="15">
        <v>0.118254631810807</v>
      </c>
    </row>
    <row r="272" spans="1:19" s="20" customFormat="1" ht="16.95" customHeight="1" x14ac:dyDescent="0.25">
      <c r="A272" s="53"/>
      <c r="B272" s="55"/>
      <c r="C272" s="53"/>
      <c r="D272" s="56"/>
      <c r="E272" s="56"/>
      <c r="F272" s="53"/>
      <c r="G272" s="9" t="s">
        <v>23</v>
      </c>
      <c r="H272" s="15">
        <v>0.23384619836964399</v>
      </c>
      <c r="I272" s="15">
        <v>0.23099861395440299</v>
      </c>
      <c r="J272" s="15">
        <v>8.1975443247244997E-2</v>
      </c>
      <c r="K272" s="15">
        <v>0.15015029940131799</v>
      </c>
      <c r="L272" s="15">
        <v>0.112099575406318</v>
      </c>
      <c r="M272" s="15">
        <v>0.11353713062054201</v>
      </c>
      <c r="N272" s="15">
        <v>0.14756625201937401</v>
      </c>
      <c r="O272" s="15">
        <v>0.10079646108493</v>
      </c>
      <c r="P272" s="15">
        <v>8.2516760787166299E-2</v>
      </c>
      <c r="Q272" s="15">
        <v>7.2549154321035605E-2</v>
      </c>
      <c r="R272" s="15">
        <v>6.4156865535531002E-2</v>
      </c>
      <c r="S272" s="15">
        <v>6.44167247597007E-2</v>
      </c>
    </row>
    <row r="273" spans="1:19" s="20" customFormat="1" ht="16.95" customHeight="1" x14ac:dyDescent="0.25">
      <c r="A273" s="53"/>
      <c r="B273" s="55"/>
      <c r="C273" s="53"/>
      <c r="D273" s="56"/>
      <c r="E273" s="56"/>
      <c r="F273" s="53"/>
      <c r="G273" s="7" t="s">
        <v>26</v>
      </c>
      <c r="H273" s="15"/>
      <c r="I273" s="15"/>
      <c r="J273" s="15"/>
      <c r="K273" s="15">
        <f>+K272*(1-3%*10)</f>
        <v>0.10510520958092259</v>
      </c>
      <c r="L273" s="15">
        <f t="shared" ref="L273:S273" si="121">+L272*(1-3%*10)</f>
        <v>7.8469702784422599E-2</v>
      </c>
      <c r="M273" s="15">
        <f t="shared" si="121"/>
        <v>7.9475991434379403E-2</v>
      </c>
      <c r="N273" s="15">
        <f t="shared" si="121"/>
        <v>0.10329637641356181</v>
      </c>
      <c r="O273" s="15">
        <f t="shared" si="121"/>
        <v>7.0557522759451E-2</v>
      </c>
      <c r="P273" s="15">
        <f t="shared" si="121"/>
        <v>5.7761732551016402E-2</v>
      </c>
      <c r="Q273" s="15">
        <f t="shared" si="121"/>
        <v>5.078440802472492E-2</v>
      </c>
      <c r="R273" s="15">
        <f t="shared" si="121"/>
        <v>4.49098058748717E-2</v>
      </c>
      <c r="S273" s="15">
        <f t="shared" si="121"/>
        <v>4.5091707331790486E-2</v>
      </c>
    </row>
    <row r="274" spans="1:19" s="20" customFormat="1" ht="16.95" customHeight="1" x14ac:dyDescent="0.25">
      <c r="A274" s="53"/>
      <c r="B274" s="55"/>
      <c r="C274" s="53"/>
      <c r="D274" s="56"/>
      <c r="E274" s="56"/>
      <c r="F274" s="53"/>
      <c r="G274" s="7" t="s">
        <v>27</v>
      </c>
      <c r="H274" s="15"/>
      <c r="I274" s="15"/>
      <c r="J274" s="15"/>
      <c r="K274" s="15">
        <f>+K272*(1+3%*8)</f>
        <v>0.18618637125763432</v>
      </c>
      <c r="L274" s="15">
        <f t="shared" ref="L274:S274" si="122">+L272*(1+3%*8)</f>
        <v>0.13900347350383432</v>
      </c>
      <c r="M274" s="15">
        <f t="shared" si="122"/>
        <v>0.14078604196947209</v>
      </c>
      <c r="N274" s="15">
        <f t="shared" si="122"/>
        <v>0.18298215250402378</v>
      </c>
      <c r="O274" s="15">
        <f t="shared" si="122"/>
        <v>0.1249876117453132</v>
      </c>
      <c r="P274" s="15">
        <f t="shared" si="122"/>
        <v>0.10232078337608622</v>
      </c>
      <c r="Q274" s="15">
        <f t="shared" si="122"/>
        <v>8.9960951358084157E-2</v>
      </c>
      <c r="R274" s="15">
        <f t="shared" si="122"/>
        <v>7.9554513264058435E-2</v>
      </c>
      <c r="S274" s="15">
        <f t="shared" si="122"/>
        <v>7.9876738702028868E-2</v>
      </c>
    </row>
    <row r="275" spans="1:19" s="20" customFormat="1" ht="16.95" customHeight="1" x14ac:dyDescent="0.25">
      <c r="A275" s="53"/>
      <c r="B275" s="55"/>
      <c r="C275" s="53"/>
      <c r="D275" s="56"/>
      <c r="E275" s="56"/>
      <c r="F275" s="53"/>
      <c r="G275" s="38" t="s">
        <v>24</v>
      </c>
      <c r="H275" s="4">
        <f>(H272-H271)/H271</f>
        <v>0.39298403699973733</v>
      </c>
      <c r="I275" s="4">
        <f t="shared" ref="I275:S275" si="123">(I272-I271)/I271</f>
        <v>0.38909523776709359</v>
      </c>
      <c r="J275" s="4">
        <f t="shared" si="123"/>
        <v>-0.17961943962770557</v>
      </c>
      <c r="K275" s="4">
        <f t="shared" si="123"/>
        <v>1.0283462396057041E-2</v>
      </c>
      <c r="L275" s="4">
        <f t="shared" si="123"/>
        <v>-0.23573942425905831</v>
      </c>
      <c r="M275" s="4">
        <f t="shared" si="123"/>
        <v>-0.40158895648033521</v>
      </c>
      <c r="N275" s="4">
        <f t="shared" si="123"/>
        <v>-0.47525848072537097</v>
      </c>
      <c r="O275" s="4">
        <f t="shared" si="123"/>
        <v>-0.43413865007503138</v>
      </c>
      <c r="P275" s="4">
        <f t="shared" si="123"/>
        <v>-0.38653996051197576</v>
      </c>
      <c r="Q275" s="4">
        <f t="shared" si="123"/>
        <v>-0.41537117654437861</v>
      </c>
      <c r="R275" s="4">
        <f t="shared" si="123"/>
        <v>-0.42255084630010553</v>
      </c>
      <c r="S275" s="4">
        <f t="shared" si="123"/>
        <v>-0.45527102174940931</v>
      </c>
    </row>
    <row r="276" spans="1:19" s="20" customFormat="1" ht="16.95" customHeight="1" x14ac:dyDescent="0.25">
      <c r="A276" s="53"/>
      <c r="B276" s="55"/>
      <c r="C276" s="53"/>
      <c r="D276" s="56"/>
      <c r="E276" s="56"/>
      <c r="F276" s="53"/>
      <c r="G276" s="16" t="s">
        <v>134</v>
      </c>
      <c r="H276" s="19"/>
      <c r="I276" s="19"/>
      <c r="J276" s="19"/>
      <c r="K276" s="19">
        <v>0.1501912</v>
      </c>
      <c r="L276" s="19">
        <v>8.0080181223714006E-2</v>
      </c>
      <c r="M276" s="19">
        <v>0.12714737165964199</v>
      </c>
      <c r="N276" s="19"/>
      <c r="O276" s="19"/>
      <c r="P276" s="19"/>
      <c r="Q276" s="19"/>
      <c r="R276" s="19"/>
      <c r="S276" s="19"/>
    </row>
    <row r="277" spans="1:19" s="20" customFormat="1" ht="16.95" customHeight="1" x14ac:dyDescent="0.25">
      <c r="A277" s="53"/>
      <c r="B277" s="55"/>
      <c r="C277" s="53"/>
      <c r="D277" s="56"/>
      <c r="E277" s="56"/>
      <c r="F277" s="53"/>
      <c r="G277" s="18" t="s">
        <v>135</v>
      </c>
      <c r="H277" s="19"/>
      <c r="I277" s="19"/>
      <c r="J277" s="19"/>
      <c r="K277" s="19">
        <f>IFERROR(2-K276/K272,"")</f>
        <v>0.99972760228354463</v>
      </c>
      <c r="L277" s="19">
        <f>IFERROR(2-L276/L272,"")</f>
        <v>1.2856335009882596</v>
      </c>
      <c r="M277" s="19">
        <f>IFERROR(2-M276/M272,"")</f>
        <v>0.88012519812053869</v>
      </c>
      <c r="N277" s="19"/>
      <c r="O277" s="19"/>
      <c r="P277" s="19"/>
      <c r="Q277" s="19"/>
      <c r="R277" s="19"/>
      <c r="S277" s="19"/>
    </row>
    <row r="278" spans="1:19" s="20" customFormat="1" ht="16.95" customHeight="1" x14ac:dyDescent="0.25">
      <c r="A278" s="53" t="s">
        <v>121</v>
      </c>
      <c r="B278" s="55" t="s">
        <v>142</v>
      </c>
      <c r="C278" s="53" t="s">
        <v>123</v>
      </c>
      <c r="D278" s="56">
        <v>0.3</v>
      </c>
      <c r="E278" s="53" t="s">
        <v>143</v>
      </c>
      <c r="F278" s="53"/>
      <c r="G278" s="5" t="s">
        <v>22</v>
      </c>
      <c r="H278" s="1">
        <v>1.0431999999999999</v>
      </c>
      <c r="I278" s="1">
        <v>0.72189999999999999</v>
      </c>
      <c r="J278" s="1">
        <v>0.73529999999999995</v>
      </c>
      <c r="K278" s="1">
        <v>0.9304</v>
      </c>
      <c r="L278" s="1">
        <v>0.9093</v>
      </c>
      <c r="M278" s="1">
        <v>1.0306999999999999</v>
      </c>
      <c r="N278" s="1">
        <v>1.0828</v>
      </c>
      <c r="O278" s="1">
        <v>0.94730000000000003</v>
      </c>
      <c r="P278" s="1">
        <v>0.89049999999999996</v>
      </c>
      <c r="Q278" s="1">
        <v>0.85629999999999995</v>
      </c>
      <c r="R278" s="1">
        <v>0.8952</v>
      </c>
      <c r="S278" s="1">
        <v>0.91739999999999999</v>
      </c>
    </row>
    <row r="279" spans="1:19" s="20" customFormat="1" ht="16.95" customHeight="1" x14ac:dyDescent="0.25">
      <c r="A279" s="53"/>
      <c r="B279" s="55"/>
      <c r="C279" s="53"/>
      <c r="D279" s="56"/>
      <c r="E279" s="53"/>
      <c r="F279" s="53"/>
      <c r="G279" s="5" t="s">
        <v>23</v>
      </c>
      <c r="H279" s="1">
        <v>1.1054999999999999</v>
      </c>
      <c r="I279" s="1">
        <v>0.63360000000000005</v>
      </c>
      <c r="J279" s="1">
        <v>1.3496999999999999</v>
      </c>
      <c r="K279" s="1">
        <v>0.93</v>
      </c>
      <c r="L279" s="1">
        <v>0.93</v>
      </c>
      <c r="M279" s="1">
        <v>0.93</v>
      </c>
      <c r="N279" s="1">
        <v>0.93</v>
      </c>
      <c r="O279" s="1">
        <v>0.93</v>
      </c>
      <c r="P279" s="1">
        <v>0.93</v>
      </c>
      <c r="Q279" s="1">
        <v>0.93</v>
      </c>
      <c r="R279" s="1">
        <v>0.93</v>
      </c>
      <c r="S279" s="1">
        <v>0.93</v>
      </c>
    </row>
    <row r="280" spans="1:19" s="20" customFormat="1" ht="16.95" customHeight="1" x14ac:dyDescent="0.25">
      <c r="A280" s="53"/>
      <c r="B280" s="55"/>
      <c r="C280" s="53"/>
      <c r="D280" s="56"/>
      <c r="E280" s="53"/>
      <c r="F280" s="53"/>
      <c r="G280" s="2" t="s">
        <v>26</v>
      </c>
      <c r="H280" s="1"/>
      <c r="I280" s="1"/>
      <c r="J280" s="1"/>
      <c r="K280" s="1">
        <f>+K279+0.5%*10</f>
        <v>0.98000000000000009</v>
      </c>
      <c r="L280" s="1">
        <f t="shared" ref="L280:S280" si="124">+L279+0.5%*10</f>
        <v>0.98000000000000009</v>
      </c>
      <c r="M280" s="1">
        <f t="shared" si="124"/>
        <v>0.98000000000000009</v>
      </c>
      <c r="N280" s="1">
        <f t="shared" si="124"/>
        <v>0.98000000000000009</v>
      </c>
      <c r="O280" s="1">
        <f t="shared" si="124"/>
        <v>0.98000000000000009</v>
      </c>
      <c r="P280" s="1">
        <f t="shared" si="124"/>
        <v>0.98000000000000009</v>
      </c>
      <c r="Q280" s="1">
        <f t="shared" si="124"/>
        <v>0.98000000000000009</v>
      </c>
      <c r="R280" s="1">
        <f t="shared" si="124"/>
        <v>0.98000000000000009</v>
      </c>
      <c r="S280" s="1">
        <f t="shared" si="124"/>
        <v>0.98000000000000009</v>
      </c>
    </row>
    <row r="281" spans="1:19" s="20" customFormat="1" ht="16.95" customHeight="1" x14ac:dyDescent="0.25">
      <c r="A281" s="53"/>
      <c r="B281" s="55"/>
      <c r="C281" s="53"/>
      <c r="D281" s="56"/>
      <c r="E281" s="53"/>
      <c r="F281" s="53"/>
      <c r="G281" s="2" t="s">
        <v>27</v>
      </c>
      <c r="H281" s="1"/>
      <c r="I281" s="1"/>
      <c r="J281" s="1"/>
      <c r="K281" s="1">
        <f>+K279-0.5%*8</f>
        <v>0.89</v>
      </c>
      <c r="L281" s="1">
        <f t="shared" ref="L281:S281" si="125">+L279-0.5%*8</f>
        <v>0.89</v>
      </c>
      <c r="M281" s="1">
        <f t="shared" si="125"/>
        <v>0.89</v>
      </c>
      <c r="N281" s="1">
        <f t="shared" si="125"/>
        <v>0.89</v>
      </c>
      <c r="O281" s="1">
        <f t="shared" si="125"/>
        <v>0.89</v>
      </c>
      <c r="P281" s="1">
        <f t="shared" si="125"/>
        <v>0.89</v>
      </c>
      <c r="Q281" s="1">
        <f t="shared" si="125"/>
        <v>0.89</v>
      </c>
      <c r="R281" s="1">
        <f t="shared" si="125"/>
        <v>0.89</v>
      </c>
      <c r="S281" s="1">
        <f t="shared" si="125"/>
        <v>0.89</v>
      </c>
    </row>
    <row r="282" spans="1:19" s="20" customFormat="1" ht="16.95" customHeight="1" x14ac:dyDescent="0.25">
      <c r="A282" s="53"/>
      <c r="B282" s="55"/>
      <c r="C282" s="53"/>
      <c r="D282" s="56"/>
      <c r="E282" s="53"/>
      <c r="F282" s="53"/>
      <c r="G282" s="6" t="s">
        <v>24</v>
      </c>
      <c r="H282" s="4">
        <f>(H279-H278)/H278</f>
        <v>5.9720092024539907E-2</v>
      </c>
      <c r="I282" s="4">
        <f t="shared" ref="I282:S282" si="126">(I279-I278)/I278</f>
        <v>-0.12231611026457949</v>
      </c>
      <c r="J282" s="4">
        <f t="shared" si="126"/>
        <v>0.83557731538147695</v>
      </c>
      <c r="K282" s="4">
        <f t="shared" si="126"/>
        <v>-4.2992261392944532E-4</v>
      </c>
      <c r="L282" s="4">
        <f t="shared" si="126"/>
        <v>2.2764764104256079E-2</v>
      </c>
      <c r="M282" s="4">
        <f t="shared" si="126"/>
        <v>-9.770059183079452E-2</v>
      </c>
      <c r="N282" s="4">
        <f t="shared" si="126"/>
        <v>-0.14111562615441442</v>
      </c>
      <c r="O282" s="4">
        <f t="shared" si="126"/>
        <v>-1.8262430064393521E-2</v>
      </c>
      <c r="P282" s="4">
        <f t="shared" si="126"/>
        <v>4.4357102751263436E-2</v>
      </c>
      <c r="Q282" s="4">
        <f t="shared" si="126"/>
        <v>8.60679668340536E-2</v>
      </c>
      <c r="R282" s="4">
        <f t="shared" si="126"/>
        <v>3.8873994638069766E-2</v>
      </c>
      <c r="S282" s="4">
        <f t="shared" si="126"/>
        <v>1.3734466971877104E-2</v>
      </c>
    </row>
    <row r="283" spans="1:19" s="20" customFormat="1" ht="16.95" customHeight="1" x14ac:dyDescent="0.25">
      <c r="A283" s="53"/>
      <c r="B283" s="55"/>
      <c r="C283" s="53"/>
      <c r="D283" s="56"/>
      <c r="E283" s="53"/>
      <c r="F283" s="53"/>
      <c r="G283" s="16" t="s">
        <v>134</v>
      </c>
      <c r="H283" s="19"/>
      <c r="I283" s="19"/>
      <c r="J283" s="19"/>
      <c r="K283" s="19">
        <v>0.97343939999999995</v>
      </c>
      <c r="L283" s="19">
        <v>0.73939999999999995</v>
      </c>
      <c r="M283" s="19">
        <v>1.0044999999999999</v>
      </c>
      <c r="N283" s="19"/>
      <c r="O283" s="19"/>
      <c r="P283" s="19"/>
      <c r="Q283" s="19"/>
      <c r="R283" s="19"/>
      <c r="S283" s="19"/>
    </row>
    <row r="284" spans="1:19" s="20" customFormat="1" ht="16.95" customHeight="1" x14ac:dyDescent="0.25">
      <c r="A284" s="53"/>
      <c r="B284" s="55"/>
      <c r="C284" s="53"/>
      <c r="D284" s="56"/>
      <c r="E284" s="53"/>
      <c r="F284" s="53"/>
      <c r="G284" s="18" t="s">
        <v>135</v>
      </c>
      <c r="H284" s="19"/>
      <c r="I284" s="19"/>
      <c r="J284" s="19"/>
      <c r="K284" s="19">
        <f>IFERROR(K283/K279,"")</f>
        <v>1.0467090322580643</v>
      </c>
      <c r="L284" s="19">
        <f>IFERROR(L283/L279,"")</f>
        <v>0.7950537634408601</v>
      </c>
      <c r="M284" s="19">
        <f>IFERROR(M283/M279,"")</f>
        <v>1.0801075268817204</v>
      </c>
      <c r="N284" s="19"/>
      <c r="O284" s="19"/>
      <c r="P284" s="19"/>
      <c r="Q284" s="19"/>
      <c r="R284" s="19"/>
      <c r="S284" s="19"/>
    </row>
    <row r="285" spans="1:19" s="20" customFormat="1" ht="16.95" customHeight="1" x14ac:dyDescent="0.25">
      <c r="A285" s="53" t="s">
        <v>121</v>
      </c>
      <c r="B285" s="55" t="s">
        <v>124</v>
      </c>
      <c r="C285" s="53" t="s">
        <v>125</v>
      </c>
      <c r="D285" s="56">
        <v>0.2</v>
      </c>
      <c r="E285" s="53" t="s">
        <v>144</v>
      </c>
      <c r="F285" s="53"/>
      <c r="G285" s="5" t="s">
        <v>22</v>
      </c>
      <c r="H285" s="1">
        <v>8.2443747701593502E-4</v>
      </c>
      <c r="I285" s="1">
        <v>5.7140379270456004E-4</v>
      </c>
      <c r="J285" s="1">
        <v>2.07121613188951E-3</v>
      </c>
      <c r="K285" s="1">
        <v>1.5921001951630001E-3</v>
      </c>
      <c r="L285" s="1">
        <v>2.3758171376576302E-3</v>
      </c>
      <c r="M285" s="1">
        <v>2.5345475669056902E-3</v>
      </c>
      <c r="N285" s="1">
        <v>2.4242101526544399E-3</v>
      </c>
      <c r="O285" s="1">
        <v>2.3397726275672598E-3</v>
      </c>
      <c r="P285" s="1">
        <v>2.3365871544902702E-3</v>
      </c>
      <c r="Q285" s="1">
        <v>1.78935493873143E-3</v>
      </c>
      <c r="R285" s="1">
        <v>1.9350550616773E-3</v>
      </c>
      <c r="S285" s="1">
        <v>2.26354704179127E-3</v>
      </c>
    </row>
    <row r="286" spans="1:19" s="20" customFormat="1" ht="16.95" customHeight="1" x14ac:dyDescent="0.25">
      <c r="A286" s="53"/>
      <c r="B286" s="55"/>
      <c r="C286" s="53"/>
      <c r="D286" s="56"/>
      <c r="E286" s="53"/>
      <c r="F286" s="53"/>
      <c r="G286" s="5" t="s">
        <v>23</v>
      </c>
      <c r="H286" s="1">
        <v>2.5957313963785298E-3</v>
      </c>
      <c r="I286" s="1">
        <v>1.6134997294616901E-3</v>
      </c>
      <c r="J286" s="1">
        <v>1.36161772992665E-3</v>
      </c>
      <c r="K286" s="1">
        <v>5.3054421149619402E-4</v>
      </c>
      <c r="L286" s="1">
        <v>1.67E-3</v>
      </c>
      <c r="M286" s="1">
        <v>2.0868000000000002E-3</v>
      </c>
      <c r="N286" s="1">
        <v>2.1924015153412801E-3</v>
      </c>
      <c r="O286" s="1">
        <v>3.2136000000000001E-3</v>
      </c>
      <c r="P286" s="1">
        <v>2.4558622543533301E-3</v>
      </c>
      <c r="Q286" s="1">
        <v>3.7755404672449198E-3</v>
      </c>
      <c r="R286" s="1">
        <v>3.1526125288032598E-3</v>
      </c>
      <c r="S286" s="1">
        <v>1.4176654792645599E-3</v>
      </c>
    </row>
    <row r="287" spans="1:19" s="20" customFormat="1" ht="16.95" customHeight="1" x14ac:dyDescent="0.25">
      <c r="A287" s="53"/>
      <c r="B287" s="55"/>
      <c r="C287" s="53"/>
      <c r="D287" s="56"/>
      <c r="E287" s="53"/>
      <c r="F287" s="53"/>
      <c r="G287" s="2" t="s">
        <v>26</v>
      </c>
      <c r="H287" s="1"/>
      <c r="I287" s="1"/>
      <c r="J287" s="1"/>
      <c r="K287" s="1">
        <f>+K286*(1+3%*10)</f>
        <v>6.8970747494505227E-4</v>
      </c>
      <c r="L287" s="1">
        <f t="shared" ref="L287:S287" si="127">+L286*(1+3%*10)</f>
        <v>2.1710000000000002E-3</v>
      </c>
      <c r="M287" s="1">
        <f t="shared" si="127"/>
        <v>2.7128400000000002E-3</v>
      </c>
      <c r="N287" s="1">
        <f t="shared" si="127"/>
        <v>2.8501219699436642E-3</v>
      </c>
      <c r="O287" s="1">
        <f t="shared" si="127"/>
        <v>4.1776800000000005E-3</v>
      </c>
      <c r="P287" s="1">
        <f t="shared" si="127"/>
        <v>3.1926209306593293E-3</v>
      </c>
      <c r="Q287" s="1">
        <f t="shared" si="127"/>
        <v>4.9082026074183955E-3</v>
      </c>
      <c r="R287" s="1">
        <f t="shared" si="127"/>
        <v>4.0983962874442375E-3</v>
      </c>
      <c r="S287" s="1">
        <f t="shared" si="127"/>
        <v>1.8429651230439279E-3</v>
      </c>
    </row>
    <row r="288" spans="1:19" s="20" customFormat="1" ht="16.95" customHeight="1" x14ac:dyDescent="0.25">
      <c r="A288" s="53"/>
      <c r="B288" s="55"/>
      <c r="C288" s="53"/>
      <c r="D288" s="56"/>
      <c r="E288" s="53"/>
      <c r="F288" s="53"/>
      <c r="G288" s="2" t="s">
        <v>27</v>
      </c>
      <c r="H288" s="1"/>
      <c r="I288" s="1"/>
      <c r="J288" s="1"/>
      <c r="K288" s="1">
        <f>+K286*(1-3%*8)</f>
        <v>4.0321360073710744E-4</v>
      </c>
      <c r="L288" s="1">
        <f t="shared" ref="L288:S288" si="128">+L286*(1-3%*8)</f>
        <v>1.2692000000000001E-3</v>
      </c>
      <c r="M288" s="1">
        <f t="shared" si="128"/>
        <v>1.5859680000000001E-3</v>
      </c>
      <c r="N288" s="1">
        <f t="shared" si="128"/>
        <v>1.6662251516593729E-3</v>
      </c>
      <c r="O288" s="1">
        <f t="shared" si="128"/>
        <v>2.4423360000000002E-3</v>
      </c>
      <c r="P288" s="1">
        <f t="shared" si="128"/>
        <v>1.866455313308531E-3</v>
      </c>
      <c r="Q288" s="1">
        <f t="shared" si="128"/>
        <v>2.8694107551061393E-3</v>
      </c>
      <c r="R288" s="1">
        <f t="shared" si="128"/>
        <v>2.3959855218904777E-3</v>
      </c>
      <c r="S288" s="1">
        <f t="shared" si="128"/>
        <v>1.0774257642410655E-3</v>
      </c>
    </row>
    <row r="289" spans="1:19" s="20" customFormat="1" ht="16.95" customHeight="1" x14ac:dyDescent="0.25">
      <c r="A289" s="53"/>
      <c r="B289" s="55"/>
      <c r="C289" s="53"/>
      <c r="D289" s="56"/>
      <c r="E289" s="53"/>
      <c r="F289" s="53"/>
      <c r="G289" s="6" t="s">
        <v>24</v>
      </c>
      <c r="H289" s="4">
        <f>(H286-H285)/H285</f>
        <v>2.1484878705099897</v>
      </c>
      <c r="I289" s="4">
        <f t="shared" ref="I289:S289" si="129">(I286-I285)/I285</f>
        <v>1.8237469720400294</v>
      </c>
      <c r="J289" s="4">
        <f t="shared" si="129"/>
        <v>-0.34259988179771178</v>
      </c>
      <c r="K289" s="4">
        <f t="shared" si="129"/>
        <v>-0.66676455846933891</v>
      </c>
      <c r="L289" s="4">
        <f t="shared" si="129"/>
        <v>-0.29708394912645114</v>
      </c>
      <c r="M289" s="4">
        <f t="shared" si="129"/>
        <v>-0.17665778806129251</v>
      </c>
      <c r="N289" s="4">
        <f t="shared" si="129"/>
        <v>-9.5622335819085649E-2</v>
      </c>
      <c r="O289" s="4">
        <f t="shared" si="129"/>
        <v>0.37346678995099103</v>
      </c>
      <c r="P289" s="4">
        <f t="shared" si="129"/>
        <v>5.1046715562844042E-2</v>
      </c>
      <c r="Q289" s="4">
        <f t="shared" si="129"/>
        <v>1.1100008642900125</v>
      </c>
      <c r="R289" s="4">
        <f t="shared" si="129"/>
        <v>0.62921076058196745</v>
      </c>
      <c r="S289" s="4">
        <f t="shared" si="129"/>
        <v>-0.37369736387599756</v>
      </c>
    </row>
    <row r="290" spans="1:19" s="20" customFormat="1" ht="16.95" customHeight="1" x14ac:dyDescent="0.25">
      <c r="A290" s="53"/>
      <c r="B290" s="55"/>
      <c r="C290" s="53"/>
      <c r="D290" s="56"/>
      <c r="E290" s="53"/>
      <c r="F290" s="53"/>
      <c r="G290" s="16" t="s">
        <v>134</v>
      </c>
      <c r="H290" s="19"/>
      <c r="I290" s="19"/>
      <c r="J290" s="19"/>
      <c r="K290" s="19">
        <v>5.9999999999999995E-4</v>
      </c>
      <c r="L290" s="19">
        <v>1.4E-3</v>
      </c>
      <c r="M290" s="19">
        <v>1.6000000000000001E-3</v>
      </c>
      <c r="N290" s="19">
        <v>1.6999999999999999E-3</v>
      </c>
      <c r="O290" s="19"/>
      <c r="P290" s="19"/>
      <c r="Q290" s="19"/>
      <c r="R290" s="19"/>
      <c r="S290" s="19"/>
    </row>
    <row r="291" spans="1:19" s="20" customFormat="1" ht="16.95" customHeight="1" x14ac:dyDescent="0.25">
      <c r="A291" s="53"/>
      <c r="B291" s="55"/>
      <c r="C291" s="53"/>
      <c r="D291" s="56"/>
      <c r="E291" s="53"/>
      <c r="F291" s="53"/>
      <c r="G291" s="18" t="s">
        <v>135</v>
      </c>
      <c r="H291" s="19"/>
      <c r="I291" s="19"/>
      <c r="J291" s="19"/>
      <c r="K291" s="19">
        <f>IFERROR(K290/K286,"")</f>
        <v>1.1309142329683191</v>
      </c>
      <c r="L291" s="19">
        <f>IFERROR(L290/L286,"")</f>
        <v>0.83832335329341312</v>
      </c>
      <c r="M291" s="19">
        <f>IFERROR(M290/M286,"")</f>
        <v>0.76672417097949008</v>
      </c>
      <c r="N291" s="19">
        <f>IFERROR(N290/N286,"")</f>
        <v>0.77540541187564793</v>
      </c>
      <c r="O291" s="19"/>
      <c r="P291" s="19"/>
      <c r="Q291" s="19"/>
      <c r="R291" s="19"/>
      <c r="S291" s="19"/>
    </row>
    <row r="292" spans="1:19" ht="16.95" customHeight="1" x14ac:dyDescent="0.25">
      <c r="A292" s="52" t="s">
        <v>126</v>
      </c>
      <c r="B292" s="52" t="s">
        <v>28</v>
      </c>
      <c r="C292" s="52" t="s">
        <v>29</v>
      </c>
      <c r="D292" s="54">
        <v>0.3</v>
      </c>
      <c r="E292" s="52" t="s">
        <v>30</v>
      </c>
      <c r="F292" s="21"/>
      <c r="G292" s="7" t="s">
        <v>22</v>
      </c>
      <c r="H292" s="42">
        <v>108027668.2</v>
      </c>
      <c r="I292" s="42">
        <v>78275399.489999995</v>
      </c>
      <c r="J292" s="42">
        <v>121729617.94</v>
      </c>
      <c r="K292" s="42">
        <v>108218700.98999999</v>
      </c>
      <c r="L292" s="42">
        <v>105182412.98</v>
      </c>
      <c r="M292" s="42">
        <v>94309242.189999998</v>
      </c>
      <c r="N292" s="42">
        <v>77619390.450000003</v>
      </c>
      <c r="O292" s="42">
        <v>127888814.61</v>
      </c>
      <c r="P292" s="42">
        <v>164619774.09999999</v>
      </c>
      <c r="Q292" s="42">
        <v>219901058.91</v>
      </c>
      <c r="R292" s="42">
        <v>237890073.77000001</v>
      </c>
      <c r="S292" s="42">
        <v>237648489.24000001</v>
      </c>
    </row>
    <row r="293" spans="1:19" ht="16.95" customHeight="1" x14ac:dyDescent="0.25">
      <c r="A293" s="52"/>
      <c r="B293" s="52"/>
      <c r="C293" s="52"/>
      <c r="D293" s="54"/>
      <c r="E293" s="52"/>
      <c r="F293" s="11"/>
      <c r="G293" s="7" t="s">
        <v>31</v>
      </c>
      <c r="H293" s="42">
        <v>89619627.930000007</v>
      </c>
      <c r="I293" s="42">
        <v>63922400</v>
      </c>
      <c r="J293" s="42">
        <v>125000000</v>
      </c>
      <c r="K293" s="42">
        <v>150000000</v>
      </c>
      <c r="L293" s="42">
        <v>150000000</v>
      </c>
      <c r="M293" s="42">
        <v>140000000</v>
      </c>
      <c r="N293" s="42">
        <v>125000000</v>
      </c>
      <c r="O293" s="42">
        <v>200000000</v>
      </c>
      <c r="P293" s="42">
        <v>270000000</v>
      </c>
      <c r="Q293" s="42">
        <v>350000000</v>
      </c>
      <c r="R293" s="42">
        <v>400000000</v>
      </c>
      <c r="S293" s="42">
        <v>400000000</v>
      </c>
    </row>
    <row r="294" spans="1:19" ht="16.95" customHeight="1" x14ac:dyDescent="0.25">
      <c r="A294" s="52"/>
      <c r="B294" s="52"/>
      <c r="C294" s="52"/>
      <c r="D294" s="54"/>
      <c r="E294" s="52"/>
      <c r="F294" s="11"/>
      <c r="G294" s="7" t="s">
        <v>32</v>
      </c>
      <c r="H294" s="42">
        <v>89619627.930000007</v>
      </c>
      <c r="I294" s="42">
        <v>63922400</v>
      </c>
      <c r="J294" s="42">
        <v>140000000</v>
      </c>
      <c r="K294" s="42">
        <v>185000000</v>
      </c>
      <c r="L294" s="42">
        <v>180000000</v>
      </c>
      <c r="M294" s="42">
        <v>170000000</v>
      </c>
      <c r="N294" s="42">
        <v>145000000</v>
      </c>
      <c r="O294" s="42">
        <v>230000000</v>
      </c>
      <c r="P294" s="42">
        <v>300000000</v>
      </c>
      <c r="Q294" s="42">
        <v>430000000</v>
      </c>
      <c r="R294" s="42">
        <v>500000000</v>
      </c>
      <c r="S294" s="42">
        <v>500000000</v>
      </c>
    </row>
    <row r="295" spans="1:19" ht="16.95" customHeight="1" x14ac:dyDescent="0.25">
      <c r="A295" s="52"/>
      <c r="B295" s="52"/>
      <c r="C295" s="52"/>
      <c r="D295" s="54"/>
      <c r="E295" s="52"/>
      <c r="F295" s="11"/>
      <c r="G295" s="7" t="s">
        <v>33</v>
      </c>
      <c r="H295" s="23"/>
      <c r="I295" s="23"/>
      <c r="J295" s="42"/>
      <c r="K295" s="42">
        <f t="shared" ref="K295:S295" si="130">(K294-K293)/10</f>
        <v>3500000</v>
      </c>
      <c r="L295" s="42">
        <f t="shared" si="130"/>
        <v>3000000</v>
      </c>
      <c r="M295" s="42">
        <f t="shared" si="130"/>
        <v>3000000</v>
      </c>
      <c r="N295" s="42">
        <f t="shared" si="130"/>
        <v>2000000</v>
      </c>
      <c r="O295" s="42">
        <f t="shared" si="130"/>
        <v>3000000</v>
      </c>
      <c r="P295" s="42">
        <f t="shared" si="130"/>
        <v>3000000</v>
      </c>
      <c r="Q295" s="42">
        <f t="shared" si="130"/>
        <v>8000000</v>
      </c>
      <c r="R295" s="42">
        <f t="shared" si="130"/>
        <v>10000000</v>
      </c>
      <c r="S295" s="42">
        <f t="shared" si="130"/>
        <v>10000000</v>
      </c>
    </row>
    <row r="296" spans="1:19" ht="16.95" customHeight="1" x14ac:dyDescent="0.25">
      <c r="A296" s="52"/>
      <c r="B296" s="52"/>
      <c r="C296" s="52"/>
      <c r="D296" s="54"/>
      <c r="E296" s="52"/>
      <c r="F296" s="11"/>
      <c r="G296" s="7" t="s">
        <v>26</v>
      </c>
      <c r="H296" s="23"/>
      <c r="I296" s="23"/>
      <c r="J296" s="42"/>
      <c r="K296" s="42">
        <f>+K293+K295*10</f>
        <v>185000000</v>
      </c>
      <c r="L296" s="42">
        <f t="shared" ref="L296:S296" si="131">+L293+L295*10</f>
        <v>180000000</v>
      </c>
      <c r="M296" s="42">
        <f t="shared" si="131"/>
        <v>170000000</v>
      </c>
      <c r="N296" s="42">
        <f t="shared" si="131"/>
        <v>145000000</v>
      </c>
      <c r="O296" s="42">
        <f t="shared" si="131"/>
        <v>230000000</v>
      </c>
      <c r="P296" s="42">
        <f t="shared" si="131"/>
        <v>300000000</v>
      </c>
      <c r="Q296" s="42">
        <f t="shared" si="131"/>
        <v>430000000</v>
      </c>
      <c r="R296" s="42">
        <f t="shared" si="131"/>
        <v>500000000</v>
      </c>
      <c r="S296" s="42">
        <f t="shared" si="131"/>
        <v>500000000</v>
      </c>
    </row>
    <row r="297" spans="1:19" ht="16.95" customHeight="1" x14ac:dyDescent="0.25">
      <c r="A297" s="52"/>
      <c r="B297" s="52"/>
      <c r="C297" s="52"/>
      <c r="D297" s="54"/>
      <c r="E297" s="52"/>
      <c r="F297" s="11"/>
      <c r="G297" s="7" t="s">
        <v>27</v>
      </c>
      <c r="H297" s="23"/>
      <c r="I297" s="23"/>
      <c r="J297" s="42"/>
      <c r="K297" s="42">
        <f>+K293-K295*8</f>
        <v>122000000</v>
      </c>
      <c r="L297" s="42">
        <f t="shared" ref="L297:S297" si="132">+L293-L295*8</f>
        <v>126000000</v>
      </c>
      <c r="M297" s="42">
        <f t="shared" si="132"/>
        <v>116000000</v>
      </c>
      <c r="N297" s="42">
        <f t="shared" si="132"/>
        <v>109000000</v>
      </c>
      <c r="O297" s="42">
        <f t="shared" si="132"/>
        <v>176000000</v>
      </c>
      <c r="P297" s="42">
        <f t="shared" si="132"/>
        <v>246000000</v>
      </c>
      <c r="Q297" s="42">
        <f t="shared" si="132"/>
        <v>286000000</v>
      </c>
      <c r="R297" s="42">
        <f t="shared" si="132"/>
        <v>320000000</v>
      </c>
      <c r="S297" s="42">
        <f t="shared" si="132"/>
        <v>320000000</v>
      </c>
    </row>
    <row r="298" spans="1:19" ht="16.95" customHeight="1" x14ac:dyDescent="0.25">
      <c r="A298" s="52"/>
      <c r="B298" s="52"/>
      <c r="C298" s="52"/>
      <c r="D298" s="54"/>
      <c r="E298" s="52"/>
      <c r="F298" s="11"/>
      <c r="G298" s="7" t="s">
        <v>24</v>
      </c>
      <c r="H298" s="4">
        <f>(H293-H292)/H292</f>
        <v>-0.17040116274582326</v>
      </c>
      <c r="I298" s="4">
        <f t="shared" ref="I298:S298" si="133">(I293-I292)/I292</f>
        <v>-0.18336539428117066</v>
      </c>
      <c r="J298" s="4">
        <f t="shared" si="133"/>
        <v>2.6865951896866705E-2</v>
      </c>
      <c r="K298" s="4">
        <f t="shared" si="133"/>
        <v>0.38608206001161322</v>
      </c>
      <c r="L298" s="4">
        <f t="shared" si="133"/>
        <v>0.42609392340639562</v>
      </c>
      <c r="M298" s="4">
        <f t="shared" si="133"/>
        <v>0.48447805060239135</v>
      </c>
      <c r="N298" s="4">
        <f t="shared" si="133"/>
        <v>0.61042233487418474</v>
      </c>
      <c r="O298" s="4">
        <f t="shared" si="133"/>
        <v>0.56385842350564264</v>
      </c>
      <c r="P298" s="4">
        <f t="shared" si="133"/>
        <v>0.64014318131663628</v>
      </c>
      <c r="Q298" s="4">
        <f t="shared" si="133"/>
        <v>0.59162489591851508</v>
      </c>
      <c r="R298" s="4">
        <f t="shared" si="133"/>
        <v>0.68144888797139647</v>
      </c>
      <c r="S298" s="4">
        <f t="shared" si="133"/>
        <v>0.68315818576924348</v>
      </c>
    </row>
    <row r="299" spans="1:19" ht="16.95" customHeight="1" x14ac:dyDescent="0.25">
      <c r="A299" s="52"/>
      <c r="B299" s="52"/>
      <c r="C299" s="52"/>
      <c r="D299" s="54"/>
      <c r="E299" s="52"/>
      <c r="F299" s="11"/>
      <c r="G299" s="16" t="s">
        <v>134</v>
      </c>
      <c r="H299" s="24"/>
      <c r="I299" s="24"/>
      <c r="J299" s="43"/>
      <c r="K299" s="43">
        <v>163195557.66999999</v>
      </c>
      <c r="L299" s="43">
        <v>166399628.59</v>
      </c>
      <c r="M299" s="43">
        <v>118372604.20999999</v>
      </c>
      <c r="N299" s="43">
        <v>92507120.489999995</v>
      </c>
      <c r="O299" s="43"/>
      <c r="P299" s="43"/>
      <c r="Q299" s="43"/>
      <c r="R299" s="43"/>
      <c r="S299" s="43"/>
    </row>
    <row r="300" spans="1:19" ht="16.95" customHeight="1" x14ac:dyDescent="0.25">
      <c r="A300" s="52"/>
      <c r="B300" s="52"/>
      <c r="C300" s="52"/>
      <c r="D300" s="54"/>
      <c r="E300" s="52"/>
      <c r="F300" s="11"/>
      <c r="G300" s="18" t="s">
        <v>135</v>
      </c>
      <c r="H300" s="22"/>
      <c r="I300" s="22"/>
      <c r="J300" s="22"/>
      <c r="K300" s="19">
        <f>IFERROR(K299/K293,"")</f>
        <v>1.0879703844666666</v>
      </c>
      <c r="L300" s="19">
        <f t="shared" ref="L300:N300" si="134">IFERROR(L299/L293,"")</f>
        <v>1.1093308572666667</v>
      </c>
      <c r="M300" s="19">
        <f t="shared" si="134"/>
        <v>0.84551860149999991</v>
      </c>
      <c r="N300" s="19">
        <f t="shared" si="134"/>
        <v>0.74005696391999998</v>
      </c>
      <c r="O300" s="19"/>
      <c r="P300" s="19"/>
      <c r="Q300" s="19"/>
      <c r="R300" s="19"/>
      <c r="S300" s="19"/>
    </row>
    <row r="301" spans="1:19" ht="16.95" customHeight="1" x14ac:dyDescent="0.25">
      <c r="A301" s="52" t="s">
        <v>126</v>
      </c>
      <c r="B301" s="52" t="s">
        <v>19</v>
      </c>
      <c r="C301" s="52" t="s">
        <v>20</v>
      </c>
      <c r="D301" s="54">
        <v>0.2</v>
      </c>
      <c r="E301" s="56" t="s">
        <v>21</v>
      </c>
      <c r="F301" s="11"/>
      <c r="G301" s="7" t="s">
        <v>22</v>
      </c>
      <c r="H301" s="12">
        <v>1377.45301690575</v>
      </c>
      <c r="I301" s="12">
        <v>1692.8207068398899</v>
      </c>
      <c r="J301" s="12">
        <v>1428.80318162347</v>
      </c>
      <c r="K301" s="12">
        <v>1287.784264381</v>
      </c>
      <c r="L301" s="12">
        <v>1217.9571344153301</v>
      </c>
      <c r="M301" s="12">
        <v>1039.87437278113</v>
      </c>
      <c r="N301" s="13">
        <v>939.79002805238099</v>
      </c>
      <c r="O301" s="13">
        <v>1600.93643623975</v>
      </c>
      <c r="P301" s="13">
        <v>1613.82704001343</v>
      </c>
      <c r="Q301" s="13">
        <v>1827.8305998385999</v>
      </c>
      <c r="R301" s="12">
        <v>1717.24553927688</v>
      </c>
      <c r="S301" s="12">
        <v>1649.7219359589301</v>
      </c>
    </row>
    <row r="302" spans="1:19" ht="16.95" customHeight="1" x14ac:dyDescent="0.25">
      <c r="A302" s="52"/>
      <c r="B302" s="52"/>
      <c r="C302" s="52"/>
      <c r="D302" s="54"/>
      <c r="E302" s="52"/>
      <c r="F302" s="11"/>
      <c r="G302" s="7" t="s">
        <v>23</v>
      </c>
      <c r="H302" s="13">
        <v>993.64283181621602</v>
      </c>
      <c r="I302" s="13">
        <v>1565.54</v>
      </c>
      <c r="J302" s="13">
        <v>1691</v>
      </c>
      <c r="K302" s="13">
        <v>1450</v>
      </c>
      <c r="L302" s="13">
        <v>1380</v>
      </c>
      <c r="M302" s="13">
        <v>1200</v>
      </c>
      <c r="N302" s="13">
        <v>1096</v>
      </c>
      <c r="O302" s="13">
        <v>1870</v>
      </c>
      <c r="P302" s="13">
        <v>1900</v>
      </c>
      <c r="Q302" s="13">
        <v>2200</v>
      </c>
      <c r="R302" s="13">
        <v>2200</v>
      </c>
      <c r="S302" s="13">
        <v>2050</v>
      </c>
    </row>
    <row r="303" spans="1:19" ht="16.95" customHeight="1" x14ac:dyDescent="0.25">
      <c r="A303" s="52"/>
      <c r="B303" s="52"/>
      <c r="C303" s="52"/>
      <c r="D303" s="54"/>
      <c r="E303" s="52"/>
      <c r="F303" s="11"/>
      <c r="G303" s="7" t="s">
        <v>26</v>
      </c>
      <c r="H303" s="13">
        <f t="shared" ref="H303:S303" si="135">+H302*1.25</f>
        <v>1242.0535397702699</v>
      </c>
      <c r="I303" s="13">
        <f t="shared" si="135"/>
        <v>1956.925</v>
      </c>
      <c r="J303" s="13">
        <f t="shared" si="135"/>
        <v>2113.75</v>
      </c>
      <c r="K303" s="13">
        <f t="shared" si="135"/>
        <v>1812.5</v>
      </c>
      <c r="L303" s="13">
        <f t="shared" si="135"/>
        <v>1725</v>
      </c>
      <c r="M303" s="13">
        <f t="shared" si="135"/>
        <v>1500</v>
      </c>
      <c r="N303" s="13">
        <f t="shared" si="135"/>
        <v>1370</v>
      </c>
      <c r="O303" s="13">
        <f t="shared" si="135"/>
        <v>2337.5</v>
      </c>
      <c r="P303" s="13">
        <f t="shared" si="135"/>
        <v>2375</v>
      </c>
      <c r="Q303" s="13">
        <f t="shared" si="135"/>
        <v>2750</v>
      </c>
      <c r="R303" s="13">
        <f t="shared" si="135"/>
        <v>2750</v>
      </c>
      <c r="S303" s="13">
        <f t="shared" si="135"/>
        <v>2562.5</v>
      </c>
    </row>
    <row r="304" spans="1:19" ht="16.95" customHeight="1" x14ac:dyDescent="0.25">
      <c r="A304" s="52"/>
      <c r="B304" s="52"/>
      <c r="C304" s="52"/>
      <c r="D304" s="54"/>
      <c r="E304" s="52"/>
      <c r="F304" s="11"/>
      <c r="G304" s="7" t="s">
        <v>27</v>
      </c>
      <c r="H304" s="13">
        <f t="shared" ref="H304:S304" si="136">+H302*0.8</f>
        <v>794.91426545297281</v>
      </c>
      <c r="I304" s="13">
        <f t="shared" si="136"/>
        <v>1252.432</v>
      </c>
      <c r="J304" s="13">
        <f t="shared" si="136"/>
        <v>1352.8000000000002</v>
      </c>
      <c r="K304" s="13">
        <f t="shared" si="136"/>
        <v>1160</v>
      </c>
      <c r="L304" s="13">
        <f t="shared" si="136"/>
        <v>1104</v>
      </c>
      <c r="M304" s="13">
        <f t="shared" si="136"/>
        <v>960</v>
      </c>
      <c r="N304" s="13">
        <f t="shared" si="136"/>
        <v>876.80000000000007</v>
      </c>
      <c r="O304" s="13">
        <f t="shared" si="136"/>
        <v>1496</v>
      </c>
      <c r="P304" s="13">
        <f t="shared" si="136"/>
        <v>1520</v>
      </c>
      <c r="Q304" s="13">
        <f t="shared" si="136"/>
        <v>1760</v>
      </c>
      <c r="R304" s="13">
        <f t="shared" si="136"/>
        <v>1760</v>
      </c>
      <c r="S304" s="13">
        <f t="shared" si="136"/>
        <v>1640</v>
      </c>
    </row>
    <row r="305" spans="1:19" ht="16.95" customHeight="1" x14ac:dyDescent="0.25">
      <c r="A305" s="52"/>
      <c r="B305" s="52"/>
      <c r="C305" s="52"/>
      <c r="D305" s="54"/>
      <c r="E305" s="52"/>
      <c r="F305" s="11"/>
      <c r="G305" s="7" t="s">
        <v>24</v>
      </c>
      <c r="H305" s="4">
        <f>(H302-H301)/H301</f>
        <v>-0.27863758718370546</v>
      </c>
      <c r="I305" s="4">
        <f t="shared" ref="I305:R305" si="137">(I302-I301)/I301</f>
        <v>-7.5188533744659822E-2</v>
      </c>
      <c r="J305" s="4">
        <f t="shared" si="137"/>
        <v>0.18350800288575106</v>
      </c>
      <c r="K305" s="4">
        <f t="shared" si="137"/>
        <v>0.12596499282197113</v>
      </c>
      <c r="L305" s="4">
        <f t="shared" si="137"/>
        <v>0.13304480182913597</v>
      </c>
      <c r="M305" s="4">
        <f t="shared" si="137"/>
        <v>0.15398554999544434</v>
      </c>
      <c r="N305" s="4">
        <f t="shared" si="137"/>
        <v>0.16621795005778925</v>
      </c>
      <c r="O305" s="4">
        <f t="shared" si="137"/>
        <v>0.16806636270470643</v>
      </c>
      <c r="P305" s="4">
        <f t="shared" si="137"/>
        <v>0.17732566928869192</v>
      </c>
      <c r="Q305" s="4">
        <f t="shared" si="137"/>
        <v>0.20361263248041866</v>
      </c>
      <c r="R305" s="4">
        <f t="shared" si="137"/>
        <v>0.28112139451321827</v>
      </c>
      <c r="S305" s="4">
        <f>(S302-S301)/S301</f>
        <v>0.24263365559748176</v>
      </c>
    </row>
    <row r="306" spans="1:19" ht="16.95" customHeight="1" x14ac:dyDescent="0.25">
      <c r="A306" s="52"/>
      <c r="B306" s="52"/>
      <c r="C306" s="52"/>
      <c r="D306" s="54"/>
      <c r="E306" s="52"/>
      <c r="F306" s="11"/>
      <c r="G306" s="16" t="s">
        <v>134</v>
      </c>
      <c r="H306" s="17"/>
      <c r="I306" s="17"/>
      <c r="J306" s="17"/>
      <c r="K306" s="17">
        <v>1442.9570608675699</v>
      </c>
      <c r="L306" s="17">
        <v>1374.8626670246999</v>
      </c>
      <c r="M306" s="17">
        <v>1073.07</v>
      </c>
      <c r="N306" s="17">
        <v>884.72</v>
      </c>
      <c r="O306" s="17"/>
      <c r="P306" s="17"/>
      <c r="Q306" s="17"/>
      <c r="R306" s="17"/>
      <c r="S306" s="17"/>
    </row>
    <row r="307" spans="1:19" ht="16.95" customHeight="1" x14ac:dyDescent="0.25">
      <c r="A307" s="52"/>
      <c r="B307" s="52"/>
      <c r="C307" s="52"/>
      <c r="D307" s="54"/>
      <c r="E307" s="52"/>
      <c r="F307" s="11"/>
      <c r="G307" s="18" t="s">
        <v>135</v>
      </c>
      <c r="H307" s="22"/>
      <c r="I307" s="22"/>
      <c r="J307" s="22"/>
      <c r="K307" s="19">
        <f>IFERROR(K306/K302,"")</f>
        <v>0.99514280059832405</v>
      </c>
      <c r="L307" s="19">
        <f>IFERROR(L306/L302,"")</f>
        <v>0.99627729494543471</v>
      </c>
      <c r="M307" s="19">
        <f>IFERROR(M306/M302,"")</f>
        <v>0.89422499999999994</v>
      </c>
      <c r="N307" s="19">
        <f>IFERROR(N306/N302,"")</f>
        <v>0.80722627737226282</v>
      </c>
      <c r="O307" s="22"/>
      <c r="P307" s="22"/>
      <c r="Q307" s="22"/>
      <c r="R307" s="22"/>
      <c r="S307" s="22"/>
    </row>
    <row r="308" spans="1:19" ht="16.95" customHeight="1" x14ac:dyDescent="0.25">
      <c r="A308" s="52" t="s">
        <v>126</v>
      </c>
      <c r="B308" s="52" t="s">
        <v>127</v>
      </c>
      <c r="C308" s="52" t="s">
        <v>128</v>
      </c>
      <c r="D308" s="57">
        <v>0.3</v>
      </c>
      <c r="E308" s="52" t="s">
        <v>129</v>
      </c>
      <c r="F308" s="34"/>
      <c r="G308" s="7" t="s">
        <v>22</v>
      </c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</row>
    <row r="309" spans="1:19" ht="16.95" customHeight="1" x14ac:dyDescent="0.25">
      <c r="A309" s="52"/>
      <c r="B309" s="52"/>
      <c r="C309" s="52"/>
      <c r="D309" s="57"/>
      <c r="E309" s="52"/>
      <c r="F309" s="34"/>
      <c r="G309" s="7" t="s">
        <v>23</v>
      </c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</row>
    <row r="310" spans="1:19" ht="16.95" customHeight="1" x14ac:dyDescent="0.25">
      <c r="A310" s="52"/>
      <c r="B310" s="52"/>
      <c r="C310" s="52"/>
      <c r="D310" s="57"/>
      <c r="E310" s="52"/>
      <c r="F310" s="34"/>
      <c r="G310" s="7" t="s">
        <v>24</v>
      </c>
      <c r="H310" s="11"/>
      <c r="I310" s="11"/>
      <c r="J310" s="11"/>
      <c r="K310" s="15" t="str">
        <f>IFERROR(K309/K308,"")</f>
        <v/>
      </c>
      <c r="L310" s="15" t="str">
        <f t="shared" ref="L310:S310" si="138">IFERROR(L309/L308,"")</f>
        <v/>
      </c>
      <c r="M310" s="15" t="str">
        <f t="shared" si="138"/>
        <v/>
      </c>
      <c r="N310" s="15" t="str">
        <f t="shared" si="138"/>
        <v/>
      </c>
      <c r="O310" s="15" t="str">
        <f t="shared" si="138"/>
        <v/>
      </c>
      <c r="P310" s="15" t="str">
        <f t="shared" si="138"/>
        <v/>
      </c>
      <c r="Q310" s="15" t="str">
        <f t="shared" si="138"/>
        <v/>
      </c>
      <c r="R310" s="15" t="str">
        <f t="shared" si="138"/>
        <v/>
      </c>
      <c r="S310" s="15" t="str">
        <f t="shared" si="138"/>
        <v/>
      </c>
    </row>
    <row r="311" spans="1:19" ht="16.95" customHeight="1" x14ac:dyDescent="0.25">
      <c r="A311" s="52"/>
      <c r="B311" s="52"/>
      <c r="C311" s="52"/>
      <c r="D311" s="57"/>
      <c r="E311" s="52"/>
      <c r="F311" s="34"/>
      <c r="G311" s="16" t="s">
        <v>134</v>
      </c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</row>
    <row r="312" spans="1:19" ht="16.95" customHeight="1" x14ac:dyDescent="0.25">
      <c r="A312" s="52"/>
      <c r="B312" s="52"/>
      <c r="C312" s="52"/>
      <c r="D312" s="57"/>
      <c r="E312" s="52"/>
      <c r="F312" s="34"/>
      <c r="G312" s="18" t="s">
        <v>135</v>
      </c>
      <c r="H312" s="30"/>
      <c r="I312" s="30"/>
      <c r="J312" s="30"/>
      <c r="K312" s="19"/>
      <c r="L312" s="30"/>
      <c r="M312" s="30"/>
      <c r="N312" s="30"/>
      <c r="O312" s="30"/>
      <c r="P312" s="30"/>
      <c r="Q312" s="30"/>
      <c r="R312" s="30"/>
      <c r="S312" s="30"/>
    </row>
    <row r="313" spans="1:19" ht="16.95" customHeight="1" x14ac:dyDescent="0.25">
      <c r="A313" s="52" t="s">
        <v>126</v>
      </c>
      <c r="B313" s="52" t="s">
        <v>130</v>
      </c>
      <c r="C313" s="52" t="s">
        <v>131</v>
      </c>
      <c r="D313" s="57">
        <v>0.1</v>
      </c>
      <c r="E313" s="52" t="s">
        <v>120</v>
      </c>
      <c r="F313" s="34"/>
      <c r="G313" s="7" t="s">
        <v>22</v>
      </c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</row>
    <row r="314" spans="1:19" ht="16.95" customHeight="1" x14ac:dyDescent="0.25">
      <c r="A314" s="52"/>
      <c r="B314" s="52"/>
      <c r="C314" s="52"/>
      <c r="D314" s="57"/>
      <c r="E314" s="52"/>
      <c r="F314" s="34"/>
      <c r="G314" s="7" t="s">
        <v>23</v>
      </c>
      <c r="H314" s="11">
        <v>90</v>
      </c>
      <c r="I314" s="11">
        <v>90</v>
      </c>
      <c r="J314" s="11">
        <v>90</v>
      </c>
      <c r="K314" s="11">
        <v>90</v>
      </c>
      <c r="L314" s="11">
        <v>90</v>
      </c>
      <c r="M314" s="11">
        <v>90</v>
      </c>
      <c r="N314" s="11">
        <v>90</v>
      </c>
      <c r="O314" s="11">
        <v>90</v>
      </c>
      <c r="P314" s="11">
        <v>90</v>
      </c>
      <c r="Q314" s="11">
        <v>90</v>
      </c>
      <c r="R314" s="11">
        <v>90</v>
      </c>
      <c r="S314" s="11">
        <v>90</v>
      </c>
    </row>
    <row r="315" spans="1:19" ht="16.95" customHeight="1" x14ac:dyDescent="0.25">
      <c r="A315" s="52"/>
      <c r="B315" s="52"/>
      <c r="C315" s="52"/>
      <c r="D315" s="57"/>
      <c r="E315" s="52"/>
      <c r="F315" s="34"/>
      <c r="G315" s="7" t="s">
        <v>26</v>
      </c>
      <c r="H315" s="11">
        <f>+H314+1*10</f>
        <v>100</v>
      </c>
      <c r="I315" s="11">
        <f>+I314+1*10</f>
        <v>100</v>
      </c>
      <c r="J315" s="11">
        <v>95</v>
      </c>
      <c r="K315" s="11">
        <v>95</v>
      </c>
      <c r="L315" s="11">
        <v>95</v>
      </c>
      <c r="M315" s="11">
        <v>95</v>
      </c>
      <c r="N315" s="11">
        <v>95</v>
      </c>
      <c r="O315" s="11">
        <v>95</v>
      </c>
      <c r="P315" s="11">
        <v>95</v>
      </c>
      <c r="Q315" s="11">
        <v>95</v>
      </c>
      <c r="R315" s="11">
        <v>95</v>
      </c>
      <c r="S315" s="11">
        <v>95</v>
      </c>
    </row>
    <row r="316" spans="1:19" ht="16.95" customHeight="1" x14ac:dyDescent="0.25">
      <c r="A316" s="52"/>
      <c r="B316" s="52"/>
      <c r="C316" s="52"/>
      <c r="D316" s="57"/>
      <c r="E316" s="52"/>
      <c r="F316" s="34"/>
      <c r="G316" s="7" t="s">
        <v>27</v>
      </c>
      <c r="H316" s="11">
        <f>+H314-6</f>
        <v>84</v>
      </c>
      <c r="I316" s="11">
        <f>+I314-6</f>
        <v>84</v>
      </c>
      <c r="J316" s="11">
        <v>86</v>
      </c>
      <c r="K316" s="11">
        <v>86</v>
      </c>
      <c r="L316" s="11">
        <v>86</v>
      </c>
      <c r="M316" s="11">
        <v>86</v>
      </c>
      <c r="N316" s="11">
        <v>86</v>
      </c>
      <c r="O316" s="11">
        <v>86</v>
      </c>
      <c r="P316" s="11">
        <v>86</v>
      </c>
      <c r="Q316" s="11">
        <v>86</v>
      </c>
      <c r="R316" s="11">
        <v>86</v>
      </c>
      <c r="S316" s="11">
        <v>86</v>
      </c>
    </row>
    <row r="317" spans="1:19" ht="16.95" customHeight="1" x14ac:dyDescent="0.25">
      <c r="A317" s="52"/>
      <c r="B317" s="52"/>
      <c r="C317" s="52"/>
      <c r="D317" s="57"/>
      <c r="E317" s="52"/>
      <c r="F317" s="34"/>
      <c r="G317" s="7" t="s">
        <v>24</v>
      </c>
      <c r="H317" s="11"/>
      <c r="I317" s="11"/>
      <c r="J317" s="11"/>
      <c r="K317" s="15" t="str">
        <f t="shared" ref="K317:S317" si="139">IFERROR(K314/K313,"")</f>
        <v/>
      </c>
      <c r="L317" s="15" t="str">
        <f t="shared" si="139"/>
        <v/>
      </c>
      <c r="M317" s="15" t="str">
        <f t="shared" si="139"/>
        <v/>
      </c>
      <c r="N317" s="15" t="str">
        <f t="shared" si="139"/>
        <v/>
      </c>
      <c r="O317" s="15" t="str">
        <f t="shared" si="139"/>
        <v/>
      </c>
      <c r="P317" s="15" t="str">
        <f t="shared" si="139"/>
        <v/>
      </c>
      <c r="Q317" s="15" t="str">
        <f t="shared" si="139"/>
        <v/>
      </c>
      <c r="R317" s="15" t="str">
        <f t="shared" si="139"/>
        <v/>
      </c>
      <c r="S317" s="15" t="str">
        <f t="shared" si="139"/>
        <v/>
      </c>
    </row>
    <row r="318" spans="1:19" ht="16.95" customHeight="1" x14ac:dyDescent="0.25">
      <c r="A318" s="52"/>
      <c r="B318" s="52"/>
      <c r="C318" s="52"/>
      <c r="D318" s="57"/>
      <c r="E318" s="52"/>
      <c r="F318" s="34"/>
      <c r="G318" s="16" t="s">
        <v>134</v>
      </c>
      <c r="H318" s="22"/>
      <c r="I318" s="22"/>
      <c r="J318" s="22"/>
      <c r="K318" s="22"/>
      <c r="L318" s="31">
        <v>55.325000000000003</v>
      </c>
      <c r="M318" s="31">
        <v>56.7</v>
      </c>
      <c r="N318" s="22">
        <v>59.9</v>
      </c>
      <c r="O318" s="22"/>
      <c r="P318" s="22"/>
      <c r="Q318" s="22"/>
      <c r="R318" s="22"/>
      <c r="S318" s="22"/>
    </row>
    <row r="319" spans="1:19" ht="16.95" customHeight="1" x14ac:dyDescent="0.25">
      <c r="A319" s="52"/>
      <c r="B319" s="52"/>
      <c r="C319" s="52"/>
      <c r="D319" s="57"/>
      <c r="E319" s="52"/>
      <c r="F319" s="34"/>
      <c r="G319" s="18" t="s">
        <v>135</v>
      </c>
      <c r="H319" s="30"/>
      <c r="I319" s="30"/>
      <c r="J319" s="30"/>
      <c r="K319" s="19"/>
      <c r="L319" s="19">
        <f>IFERROR(L318/L314,"")</f>
        <v>0.61472222222222228</v>
      </c>
      <c r="M319" s="19">
        <f>IFERROR(M318/M314,"")</f>
        <v>0.63</v>
      </c>
      <c r="N319" s="19">
        <f>IFERROR(N318/N314,"")</f>
        <v>0.66555555555555557</v>
      </c>
      <c r="O319" s="30"/>
      <c r="P319" s="30"/>
      <c r="Q319" s="30"/>
      <c r="R319" s="30"/>
      <c r="S319" s="30"/>
    </row>
    <row r="320" spans="1:19" ht="16.95" customHeight="1" x14ac:dyDescent="0.25">
      <c r="A320" s="52" t="s">
        <v>126</v>
      </c>
      <c r="B320" s="52" t="s">
        <v>34</v>
      </c>
      <c r="C320" s="52" t="s">
        <v>46</v>
      </c>
      <c r="D320" s="54">
        <v>0.1</v>
      </c>
      <c r="E320" s="52" t="s">
        <v>36</v>
      </c>
      <c r="F320" s="11"/>
      <c r="G320" s="7" t="s">
        <v>22</v>
      </c>
      <c r="H320" s="15"/>
      <c r="I320" s="15"/>
      <c r="J320" s="15"/>
      <c r="K320" s="15"/>
      <c r="L320" s="15"/>
      <c r="M320" s="15"/>
      <c r="N320" s="15"/>
      <c r="O320" s="15"/>
      <c r="P320" s="15"/>
      <c r="Q320" s="15"/>
      <c r="R320" s="15"/>
      <c r="S320" s="15"/>
    </row>
    <row r="321" spans="1:19" ht="16.95" customHeight="1" x14ac:dyDescent="0.25">
      <c r="A321" s="52"/>
      <c r="B321" s="52"/>
      <c r="C321" s="52"/>
      <c r="D321" s="54"/>
      <c r="E321" s="52"/>
      <c r="F321" s="11"/>
      <c r="G321" s="7" t="s">
        <v>23</v>
      </c>
      <c r="H321" s="15">
        <v>2.3955894466135301E-3</v>
      </c>
      <c r="I321" s="15">
        <v>2.0912908603191601E-3</v>
      </c>
      <c r="J321" s="15">
        <v>9.8043906123945691E-4</v>
      </c>
      <c r="K321" s="15">
        <v>8.6078688537710496E-4</v>
      </c>
      <c r="L321" s="15">
        <v>1.2711894425435301E-3</v>
      </c>
      <c r="M321" s="15">
        <v>1.3825354956259501E-3</v>
      </c>
      <c r="N321" s="15">
        <v>2.3123514683781599E-3</v>
      </c>
      <c r="O321" s="15">
        <v>1.321803916893E-3</v>
      </c>
      <c r="P321" s="15">
        <v>9.3167379484294498E-4</v>
      </c>
      <c r="Q321" s="15">
        <v>8.4245153217890102E-4</v>
      </c>
      <c r="R321" s="15">
        <v>7.0896834460248699E-4</v>
      </c>
      <c r="S321" s="15">
        <v>7.08902146686699E-4</v>
      </c>
    </row>
    <row r="322" spans="1:19" ht="16.95" customHeight="1" x14ac:dyDescent="0.25">
      <c r="A322" s="52"/>
      <c r="B322" s="52"/>
      <c r="C322" s="52"/>
      <c r="D322" s="54"/>
      <c r="E322" s="52"/>
      <c r="F322" s="11"/>
      <c r="G322" s="7" t="s">
        <v>26</v>
      </c>
      <c r="H322" s="15"/>
      <c r="I322" s="15"/>
      <c r="J322" s="15"/>
      <c r="K322" s="15">
        <f>+K321*(1-3%*10)</f>
        <v>6.0255081976397348E-4</v>
      </c>
      <c r="L322" s="15">
        <f t="shared" ref="L322:S322" si="140">+L321*(1-3%*10)</f>
        <v>8.8983260978047103E-4</v>
      </c>
      <c r="M322" s="15">
        <f t="shared" si="140"/>
        <v>9.6777484693816502E-4</v>
      </c>
      <c r="N322" s="15">
        <f t="shared" si="140"/>
        <v>1.6186460278647119E-3</v>
      </c>
      <c r="O322" s="15">
        <f t="shared" si="140"/>
        <v>9.2526274182509988E-4</v>
      </c>
      <c r="P322" s="15">
        <f t="shared" si="140"/>
        <v>6.5217165639006145E-4</v>
      </c>
      <c r="Q322" s="15">
        <f t="shared" si="140"/>
        <v>5.8971607252523072E-4</v>
      </c>
      <c r="R322" s="15">
        <f t="shared" si="140"/>
        <v>4.9627784122174086E-4</v>
      </c>
      <c r="S322" s="15">
        <f t="shared" si="140"/>
        <v>4.9623150268068926E-4</v>
      </c>
    </row>
    <row r="323" spans="1:19" ht="16.95" customHeight="1" x14ac:dyDescent="0.25">
      <c r="A323" s="52"/>
      <c r="B323" s="52"/>
      <c r="C323" s="52"/>
      <c r="D323" s="54"/>
      <c r="E323" s="52"/>
      <c r="F323" s="11"/>
      <c r="G323" s="7" t="s">
        <v>27</v>
      </c>
      <c r="H323" s="15"/>
      <c r="I323" s="15"/>
      <c r="J323" s="15"/>
      <c r="K323" s="15">
        <f>+K321*(1+3%*8)</f>
        <v>1.0673757378676101E-3</v>
      </c>
      <c r="L323" s="15">
        <f t="shared" ref="L323:S323" si="141">+L321*(1+3%*8)</f>
        <v>1.5762749087539774E-3</v>
      </c>
      <c r="M323" s="15">
        <f t="shared" si="141"/>
        <v>1.714344014576178E-3</v>
      </c>
      <c r="N323" s="15">
        <f t="shared" si="141"/>
        <v>2.8673158207889182E-3</v>
      </c>
      <c r="O323" s="15">
        <f t="shared" si="141"/>
        <v>1.6390368569473199E-3</v>
      </c>
      <c r="P323" s="15">
        <f t="shared" si="141"/>
        <v>1.1552755056052518E-3</v>
      </c>
      <c r="Q323" s="15">
        <f t="shared" si="141"/>
        <v>1.0446398999018373E-3</v>
      </c>
      <c r="R323" s="15">
        <f t="shared" si="141"/>
        <v>8.7912074730708389E-4</v>
      </c>
      <c r="S323" s="15">
        <f t="shared" si="141"/>
        <v>8.7903866189150673E-4</v>
      </c>
    </row>
    <row r="324" spans="1:19" ht="16.95" customHeight="1" x14ac:dyDescent="0.25">
      <c r="A324" s="52"/>
      <c r="B324" s="52"/>
      <c r="C324" s="52"/>
      <c r="D324" s="54"/>
      <c r="E324" s="52"/>
      <c r="F324" s="11"/>
      <c r="G324" s="7" t="s">
        <v>24</v>
      </c>
      <c r="H324" s="15" t="str">
        <f t="shared" ref="H324:S324" si="142">IFERROR(H321/H320,"")</f>
        <v/>
      </c>
      <c r="I324" s="15" t="str">
        <f t="shared" si="142"/>
        <v/>
      </c>
      <c r="J324" s="15" t="str">
        <f t="shared" si="142"/>
        <v/>
      </c>
      <c r="K324" s="15" t="str">
        <f t="shared" si="142"/>
        <v/>
      </c>
      <c r="L324" s="15" t="str">
        <f t="shared" si="142"/>
        <v/>
      </c>
      <c r="M324" s="15" t="str">
        <f t="shared" si="142"/>
        <v/>
      </c>
      <c r="N324" s="15" t="str">
        <f t="shared" si="142"/>
        <v/>
      </c>
      <c r="O324" s="15" t="str">
        <f t="shared" si="142"/>
        <v/>
      </c>
      <c r="P324" s="15" t="str">
        <f t="shared" si="142"/>
        <v/>
      </c>
      <c r="Q324" s="15" t="str">
        <f t="shared" si="142"/>
        <v/>
      </c>
      <c r="R324" s="15" t="str">
        <f t="shared" si="142"/>
        <v/>
      </c>
      <c r="S324" s="15" t="str">
        <f t="shared" si="142"/>
        <v/>
      </c>
    </row>
    <row r="325" spans="1:19" ht="16.95" customHeight="1" x14ac:dyDescent="0.25">
      <c r="A325" s="52"/>
      <c r="B325" s="52"/>
      <c r="C325" s="52"/>
      <c r="D325" s="54"/>
      <c r="E325" s="52"/>
      <c r="F325" s="11"/>
      <c r="G325" s="16" t="s">
        <v>134</v>
      </c>
      <c r="H325" s="19"/>
      <c r="I325" s="19"/>
      <c r="J325" s="19"/>
      <c r="K325" s="19">
        <v>7.47305900891681E-4</v>
      </c>
      <c r="L325" s="19">
        <v>7.6079416047461598E-4</v>
      </c>
      <c r="M325" s="19">
        <v>9.4445E-4</v>
      </c>
      <c r="N325" s="19"/>
      <c r="O325" s="19"/>
      <c r="P325" s="19"/>
      <c r="Q325" s="19"/>
      <c r="R325" s="19"/>
      <c r="S325" s="19"/>
    </row>
    <row r="326" spans="1:19" ht="16.95" customHeight="1" x14ac:dyDescent="0.25">
      <c r="A326" s="52"/>
      <c r="B326" s="52"/>
      <c r="C326" s="52"/>
      <c r="D326" s="54"/>
      <c r="E326" s="52"/>
      <c r="F326" s="11"/>
      <c r="G326" s="18" t="s">
        <v>135</v>
      </c>
      <c r="H326" s="19"/>
      <c r="I326" s="19"/>
      <c r="J326" s="19"/>
      <c r="K326" s="19">
        <f>IFERROR(2-K325/K321,"")</f>
        <v>1.1318340072475763</v>
      </c>
      <c r="L326" s="19">
        <f>IFERROR(2-L325/L321,"")</f>
        <v>1.4015100070746822</v>
      </c>
      <c r="M326" s="19">
        <f>IFERROR(2-M325/M321,"")</f>
        <v>1.3168710655255942</v>
      </c>
      <c r="N326" s="19"/>
      <c r="O326" s="19"/>
      <c r="P326" s="19"/>
      <c r="Q326" s="19"/>
      <c r="R326" s="19"/>
      <c r="S326" s="19"/>
    </row>
    <row r="329" spans="1:19" x14ac:dyDescent="0.25">
      <c r="K329" s="20"/>
    </row>
    <row r="330" spans="1:19" x14ac:dyDescent="0.25">
      <c r="K330" s="20"/>
    </row>
    <row r="331" spans="1:19" x14ac:dyDescent="0.25">
      <c r="K331" s="20"/>
    </row>
    <row r="332" spans="1:19" x14ac:dyDescent="0.25">
      <c r="K332" s="20"/>
    </row>
    <row r="333" spans="1:19" x14ac:dyDescent="0.25">
      <c r="K333" s="20"/>
    </row>
    <row r="334" spans="1:19" x14ac:dyDescent="0.25">
      <c r="K334" s="20"/>
    </row>
    <row r="335" spans="1:19" x14ac:dyDescent="0.25">
      <c r="K335" s="20"/>
    </row>
    <row r="336" spans="1:19" x14ac:dyDescent="0.25">
      <c r="K336" s="20"/>
    </row>
    <row r="337" spans="11:11" x14ac:dyDescent="0.25">
      <c r="K337" s="20"/>
    </row>
    <row r="338" spans="11:11" x14ac:dyDescent="0.25">
      <c r="K338" s="20"/>
    </row>
    <row r="339" spans="11:11" x14ac:dyDescent="0.25">
      <c r="K339" s="20"/>
    </row>
    <row r="340" spans="11:11" x14ac:dyDescent="0.25">
      <c r="K340" s="20"/>
    </row>
  </sheetData>
  <mergeCells count="237">
    <mergeCell ref="A320:A326"/>
    <mergeCell ref="B320:B326"/>
    <mergeCell ref="C320:C326"/>
    <mergeCell ref="D320:D326"/>
    <mergeCell ref="E320:E326"/>
    <mergeCell ref="A308:A312"/>
    <mergeCell ref="B308:B312"/>
    <mergeCell ref="C308:C312"/>
    <mergeCell ref="D308:D312"/>
    <mergeCell ref="E308:E312"/>
    <mergeCell ref="A313:A319"/>
    <mergeCell ref="B313:B319"/>
    <mergeCell ref="C313:C319"/>
    <mergeCell ref="D313:D319"/>
    <mergeCell ref="E313:E319"/>
    <mergeCell ref="A292:A300"/>
    <mergeCell ref="B292:B300"/>
    <mergeCell ref="C292:C300"/>
    <mergeCell ref="D292:D300"/>
    <mergeCell ref="E292:E300"/>
    <mergeCell ref="A301:A307"/>
    <mergeCell ref="B301:B307"/>
    <mergeCell ref="C301:C307"/>
    <mergeCell ref="D301:D307"/>
    <mergeCell ref="E301:E307"/>
    <mergeCell ref="A285:A291"/>
    <mergeCell ref="B285:B291"/>
    <mergeCell ref="C285:C291"/>
    <mergeCell ref="D285:D291"/>
    <mergeCell ref="E285:E291"/>
    <mergeCell ref="F285:F291"/>
    <mergeCell ref="A278:A284"/>
    <mergeCell ref="B278:B284"/>
    <mergeCell ref="C278:C284"/>
    <mergeCell ref="D278:D284"/>
    <mergeCell ref="E278:E284"/>
    <mergeCell ref="F278:F284"/>
    <mergeCell ref="A271:A277"/>
    <mergeCell ref="B271:B277"/>
    <mergeCell ref="C271:C277"/>
    <mergeCell ref="D271:D277"/>
    <mergeCell ref="E271:E277"/>
    <mergeCell ref="F271:F277"/>
    <mergeCell ref="A257:A263"/>
    <mergeCell ref="B257:B263"/>
    <mergeCell ref="C257:C263"/>
    <mergeCell ref="D257:D263"/>
    <mergeCell ref="E257:E263"/>
    <mergeCell ref="A264:A270"/>
    <mergeCell ref="B264:B270"/>
    <mergeCell ref="C264:C270"/>
    <mergeCell ref="D264:D270"/>
    <mergeCell ref="E264:E270"/>
    <mergeCell ref="A247:A253"/>
    <mergeCell ref="B247:B253"/>
    <mergeCell ref="C247:C253"/>
    <mergeCell ref="D247:D253"/>
    <mergeCell ref="E247:E253"/>
    <mergeCell ref="A254:A256"/>
    <mergeCell ref="B254:B256"/>
    <mergeCell ref="C254:C256"/>
    <mergeCell ref="D254:D256"/>
    <mergeCell ref="E254:E256"/>
    <mergeCell ref="A233:A239"/>
    <mergeCell ref="B233:B239"/>
    <mergeCell ref="C233:C239"/>
    <mergeCell ref="D233:D239"/>
    <mergeCell ref="E233:E239"/>
    <mergeCell ref="A240:A246"/>
    <mergeCell ref="B240:B246"/>
    <mergeCell ref="C240:C246"/>
    <mergeCell ref="D240:D246"/>
    <mergeCell ref="E240:E246"/>
    <mergeCell ref="A219:A225"/>
    <mergeCell ref="B219:B225"/>
    <mergeCell ref="C219:C225"/>
    <mergeCell ref="D219:D225"/>
    <mergeCell ref="E219:E225"/>
    <mergeCell ref="A226:A232"/>
    <mergeCell ref="B226:B232"/>
    <mergeCell ref="C226:C232"/>
    <mergeCell ref="D226:D232"/>
    <mergeCell ref="E226:E232"/>
    <mergeCell ref="A205:A211"/>
    <mergeCell ref="B205:B211"/>
    <mergeCell ref="C205:C211"/>
    <mergeCell ref="D205:D211"/>
    <mergeCell ref="E205:E211"/>
    <mergeCell ref="A212:A218"/>
    <mergeCell ref="B212:B218"/>
    <mergeCell ref="C212:C218"/>
    <mergeCell ref="D212:D218"/>
    <mergeCell ref="E212:E218"/>
    <mergeCell ref="A195:A199"/>
    <mergeCell ref="B195:B199"/>
    <mergeCell ref="C195:C199"/>
    <mergeCell ref="D195:D199"/>
    <mergeCell ref="E195:E199"/>
    <mergeCell ref="A200:A204"/>
    <mergeCell ref="B200:B204"/>
    <mergeCell ref="C200:C204"/>
    <mergeCell ref="D200:D204"/>
    <mergeCell ref="E200:E204"/>
    <mergeCell ref="A181:A187"/>
    <mergeCell ref="B181:B187"/>
    <mergeCell ref="C181:C187"/>
    <mergeCell ref="D181:D187"/>
    <mergeCell ref="E181:E187"/>
    <mergeCell ref="A188:A194"/>
    <mergeCell ref="B188:B194"/>
    <mergeCell ref="C188:C194"/>
    <mergeCell ref="D188:D194"/>
    <mergeCell ref="E188:E194"/>
    <mergeCell ref="A167:A180"/>
    <mergeCell ref="B167:B173"/>
    <mergeCell ref="C167:C180"/>
    <mergeCell ref="D167:D173"/>
    <mergeCell ref="E167:E173"/>
    <mergeCell ref="B174:B180"/>
    <mergeCell ref="D174:D180"/>
    <mergeCell ref="E174:E180"/>
    <mergeCell ref="A153:A159"/>
    <mergeCell ref="B153:B159"/>
    <mergeCell ref="C153:C159"/>
    <mergeCell ref="D153:D159"/>
    <mergeCell ref="E153:E159"/>
    <mergeCell ref="A160:A166"/>
    <mergeCell ref="B160:B166"/>
    <mergeCell ref="C160:C166"/>
    <mergeCell ref="D160:D166"/>
    <mergeCell ref="E160:E166"/>
    <mergeCell ref="A139:A145"/>
    <mergeCell ref="B139:B145"/>
    <mergeCell ref="C139:C145"/>
    <mergeCell ref="D139:D145"/>
    <mergeCell ref="E139:E145"/>
    <mergeCell ref="A146:A152"/>
    <mergeCell ref="B146:B152"/>
    <mergeCell ref="C146:C152"/>
    <mergeCell ref="D146:D152"/>
    <mergeCell ref="E146:E152"/>
    <mergeCell ref="A125:A131"/>
    <mergeCell ref="B125:B131"/>
    <mergeCell ref="C125:C131"/>
    <mergeCell ref="D125:D131"/>
    <mergeCell ref="E125:E131"/>
    <mergeCell ref="A132:A138"/>
    <mergeCell ref="B132:B138"/>
    <mergeCell ref="C132:C138"/>
    <mergeCell ref="D132:D138"/>
    <mergeCell ref="E132:E138"/>
    <mergeCell ref="A111:A117"/>
    <mergeCell ref="B111:B117"/>
    <mergeCell ref="C111:C117"/>
    <mergeCell ref="D111:D117"/>
    <mergeCell ref="E111:E117"/>
    <mergeCell ref="A118:A124"/>
    <mergeCell ref="B118:B124"/>
    <mergeCell ref="C118:C124"/>
    <mergeCell ref="D118:D124"/>
    <mergeCell ref="E118:E124"/>
    <mergeCell ref="A97:A103"/>
    <mergeCell ref="B97:B103"/>
    <mergeCell ref="C97:C103"/>
    <mergeCell ref="D97:D103"/>
    <mergeCell ref="E97:E103"/>
    <mergeCell ref="A104:A110"/>
    <mergeCell ref="B104:B110"/>
    <mergeCell ref="C104:C110"/>
    <mergeCell ref="D104:D110"/>
    <mergeCell ref="E104:E110"/>
    <mergeCell ref="A83:A89"/>
    <mergeCell ref="B83:B89"/>
    <mergeCell ref="C83:C89"/>
    <mergeCell ref="D83:D89"/>
    <mergeCell ref="E83:E89"/>
    <mergeCell ref="A90:A96"/>
    <mergeCell ref="B90:B96"/>
    <mergeCell ref="C90:C96"/>
    <mergeCell ref="D90:D96"/>
    <mergeCell ref="E90:E96"/>
    <mergeCell ref="A69:A75"/>
    <mergeCell ref="B69:B75"/>
    <mergeCell ref="C69:C75"/>
    <mergeCell ref="D69:D75"/>
    <mergeCell ref="E69:E75"/>
    <mergeCell ref="A76:A82"/>
    <mergeCell ref="B76:B82"/>
    <mergeCell ref="C76:C82"/>
    <mergeCell ref="D76:D82"/>
    <mergeCell ref="E76:E82"/>
    <mergeCell ref="A55:A61"/>
    <mergeCell ref="B55:B61"/>
    <mergeCell ref="C55:C61"/>
    <mergeCell ref="D55:D61"/>
    <mergeCell ref="E55:E61"/>
    <mergeCell ref="A62:A68"/>
    <mergeCell ref="B62:B68"/>
    <mergeCell ref="C62:C68"/>
    <mergeCell ref="D62:D68"/>
    <mergeCell ref="E62:E68"/>
    <mergeCell ref="A41:A47"/>
    <mergeCell ref="B41:B47"/>
    <mergeCell ref="C41:C47"/>
    <mergeCell ref="D41:D47"/>
    <mergeCell ref="E41:E47"/>
    <mergeCell ref="A48:A54"/>
    <mergeCell ref="B48:B54"/>
    <mergeCell ref="C48:C54"/>
    <mergeCell ref="D48:D54"/>
    <mergeCell ref="E48:E54"/>
    <mergeCell ref="F25:F31"/>
    <mergeCell ref="A32:A40"/>
    <mergeCell ref="B32:B40"/>
    <mergeCell ref="C32:C40"/>
    <mergeCell ref="D32:D40"/>
    <mergeCell ref="E32:E40"/>
    <mergeCell ref="A16:A24"/>
    <mergeCell ref="B16:B24"/>
    <mergeCell ref="C16:C24"/>
    <mergeCell ref="D16:D24"/>
    <mergeCell ref="E16:E24"/>
    <mergeCell ref="A25:A31"/>
    <mergeCell ref="B25:B31"/>
    <mergeCell ref="C25:C31"/>
    <mergeCell ref="D25:D31"/>
    <mergeCell ref="E25:E31"/>
    <mergeCell ref="A2:A8"/>
    <mergeCell ref="B2:B8"/>
    <mergeCell ref="C2:C8"/>
    <mergeCell ref="D2:D8"/>
    <mergeCell ref="E2:E8"/>
    <mergeCell ref="A9:A15"/>
    <mergeCell ref="B9:B15"/>
    <mergeCell ref="C9:C15"/>
    <mergeCell ref="D9:D15"/>
    <mergeCell ref="E9:E15"/>
  </mergeCells>
  <phoneticPr fontId="7" type="noConversion"/>
  <pageMargins left="0.69930555555555596" right="0.69930555555555596" top="0.75" bottom="0.75" header="0.3" footer="0.3"/>
  <pageSetup paperSize="9" orientation="portrait" r:id="rId1"/>
  <ignoredErrors>
    <ignoredError sqref="K246" formula="1"/>
  </ignoredError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allowEditUser xmlns="https://web.wps.cn/et/2018/main" xmlns:s="http://schemas.openxmlformats.org/spreadsheetml/2006/main">
  <rangeList sheetStid="2" master=""/>
  <rangeList sheetStid="3" master=""/>
  <rangeList sheetStid="4" master=""/>
</allowEditUser>
</file>

<file path=customXml/item2.xml><?xml version="1.0" encoding="utf-8"?>
<mergeFile xmlns="https://web.wps.cn/et/2018/main" xmlns:s="http://schemas.openxmlformats.org/spreadsheetml/2006/main">
  <listFile/>
</mergeFile>
</file>

<file path=customXml/item3.xml><?xml version="1.0" encoding="utf-8"?>
<settings xmlns="https://web.wps.cn/et/2018/main" xmlns:s="http://schemas.openxmlformats.org/spreadsheetml/2006/main">
  <bookSettings>
    <isFilterShared>1</isFilterShared>
  </bookSettings>
</settings>
</file>

<file path=customXml/item4.xml><?xml version="1.0" encoding="utf-8"?>
<pixelators xmlns="https://web.wps.cn/et/2018/main" xmlns:s="http://schemas.openxmlformats.org/spreadsheetml/2006/main">
  <pixelatorList sheetStid="2"/>
  <pixelatorList sheetStid="3"/>
  <pixelatorList sheetStid="4"/>
</pixelators>
</file>

<file path=customXml/item5.xml><?xml version="1.0" encoding="utf-8"?>
<comments xmlns="https://web.wps.cn/et/2018/main" xmlns:s="http://schemas.openxmlformats.org/spreadsheetml/2006/main"/>
</file>

<file path=customXml/item6.xml><?xml version="1.0" encoding="utf-8"?>
<sheetInterline xmlns="https://web.wps.cn/et/2018/main" xmlns:s="http://schemas.openxmlformats.org/spreadsheetml/2006/main">
  <interlineItem sheetStid="2" interlineOnOff="0" interlineColor="0"/>
  <interlineItem sheetStid="3" interlineOnOff="0" interlineColor="0"/>
  <interlineItem sheetStid="4" interlineOnOff="0" interlineColor="0"/>
</sheetInterline>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customXml/itemProps2.xml><?xml version="1.0" encoding="utf-8"?>
<ds:datastoreItem xmlns:ds="http://schemas.openxmlformats.org/officeDocument/2006/customXml" ds:itemID="{DC3875BF-13D6-4817-9B69-0B22B651B2C7}">
  <ds:schemaRefs/>
</ds:datastoreItem>
</file>

<file path=customXml/itemProps3.xml><?xml version="1.0" encoding="utf-8"?>
<ds:datastoreItem xmlns:ds="http://schemas.openxmlformats.org/officeDocument/2006/customXml" ds:itemID="{9F91F69C-6E8C-4246-BC25-297BFDC75D90}">
  <ds:schemaRefs/>
</ds:datastoreItem>
</file>

<file path=customXml/itemProps4.xml><?xml version="1.0" encoding="utf-8"?>
<ds:datastoreItem xmlns:ds="http://schemas.openxmlformats.org/officeDocument/2006/customXml" ds:itemID="{224D003E-15C9-4FFE-AB16-9E66474EAE4E}">
  <ds:schemaRefs/>
</ds:datastoreItem>
</file>

<file path=customXml/itemProps5.xml><?xml version="1.0" encoding="utf-8"?>
<ds:datastoreItem xmlns:ds="http://schemas.openxmlformats.org/officeDocument/2006/customXml" ds:itemID="{06A0048C-2381-489B-AA07-9611017176EA}">
  <ds:schemaRefs/>
</ds:datastoreItem>
</file>

<file path=customXml/itemProps6.xml><?xml version="1.0" encoding="utf-8"?>
<ds:datastoreItem xmlns:ds="http://schemas.openxmlformats.org/officeDocument/2006/customXml" ds:itemID="{3F8FC9E7-9E3E-4D00-BC07-C2C84DFACBC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2020各部门目标值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86131</dc:creator>
  <cp:lastModifiedBy>CRB</cp:lastModifiedBy>
  <dcterms:created xsi:type="dcterms:W3CDTF">2020-03-31T17:37:00Z</dcterms:created>
  <dcterms:modified xsi:type="dcterms:W3CDTF">2020-08-31T12:10:57Z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2052-11.1.0.9678</vt:lpwstr>
  </property>
</Properties>
</file>